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rton\Desktop\"/>
    </mc:Choice>
  </mc:AlternateContent>
  <bookViews>
    <workbookView xWindow="0" yWindow="0" windowWidth="28800" windowHeight="12360"/>
  </bookViews>
  <sheets>
    <sheet name="Investor Returns" sheetId="2" r:id="rId1"/>
  </sheets>
  <definedNames>
    <definedName name="_Order1" hidden="1">0</definedName>
    <definedName name="Equity_Share_LP">'Investor Returns'!$C$9</definedName>
    <definedName name="Equity_Share_Sponsor">'Investor Returns'!$C$8</definedName>
    <definedName name="IntroPrintArea" hidden="1">#REF!</definedName>
    <definedName name="Preferred_Return">'Investor Returns'!$E$14</definedName>
    <definedName name="Promote_Structure">'Investor Returns'!$B$13:$I$17</definedName>
    <definedName name="Total_Equity">'Investor Returns'!$D$10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F51" i="2" l="1"/>
  <c r="F54" i="2"/>
  <c r="L10" i="2"/>
  <c r="E4" i="2"/>
  <c r="B13" i="2" l="1"/>
  <c r="E16" i="2"/>
  <c r="E15" i="2"/>
  <c r="E14" i="2"/>
  <c r="F38" i="2" l="1"/>
  <c r="D10" i="2" l="1"/>
  <c r="D8" i="2" s="1"/>
  <c r="G34" i="2"/>
  <c r="G54" i="2" s="1"/>
  <c r="H19" i="2"/>
  <c r="H34" i="2" s="1"/>
  <c r="H54" i="2" s="1"/>
  <c r="F35" i="2"/>
  <c r="G35" i="2" s="1"/>
  <c r="C9" i="2"/>
  <c r="F42" i="2"/>
  <c r="B58" i="2"/>
  <c r="F63" i="2"/>
  <c r="F70" i="2" s="1"/>
  <c r="B67" i="2"/>
  <c r="B73" i="2"/>
  <c r="B82" i="2"/>
  <c r="B88" i="2"/>
  <c r="B95" i="2"/>
  <c r="F37" i="2"/>
  <c r="F45" i="2" l="1"/>
  <c r="F22" i="2" s="1"/>
  <c r="C77" i="2"/>
  <c r="C62" i="2"/>
  <c r="B69" i="2" s="1"/>
  <c r="D9" i="2"/>
  <c r="F65" i="2"/>
  <c r="I19" i="2"/>
  <c r="H35" i="2"/>
  <c r="C41" i="2"/>
  <c r="F53" i="2" s="1"/>
  <c r="F44" i="2" l="1"/>
  <c r="F46" i="2" s="1"/>
  <c r="F47" i="2" s="1"/>
  <c r="B84" i="2"/>
  <c r="C92" i="2"/>
  <c r="F64" i="2"/>
  <c r="B48" i="2"/>
  <c r="F29" i="2"/>
  <c r="J19" i="2"/>
  <c r="I34" i="2"/>
  <c r="F49" i="2" l="1"/>
  <c r="F66" i="2" s="1"/>
  <c r="I35" i="2"/>
  <c r="I54" i="2"/>
  <c r="F48" i="2"/>
  <c r="G42" i="2"/>
  <c r="K19" i="2"/>
  <c r="J34" i="2"/>
  <c r="J35" i="2" l="1"/>
  <c r="J54" i="2"/>
  <c r="G44" i="2"/>
  <c r="G45" i="2"/>
  <c r="K34" i="2"/>
  <c r="L19" i="2"/>
  <c r="K35" i="2" l="1"/>
  <c r="K54" i="2"/>
  <c r="G29" i="2"/>
  <c r="G22" i="2"/>
  <c r="M19" i="2"/>
  <c r="L34" i="2"/>
  <c r="L35" i="2" l="1"/>
  <c r="L54" i="2"/>
  <c r="M34" i="2"/>
  <c r="N19" i="2"/>
  <c r="M35" i="2" l="1"/>
  <c r="M54" i="2"/>
  <c r="O19" i="2"/>
  <c r="N34" i="2"/>
  <c r="N35" i="2" l="1"/>
  <c r="N54" i="2"/>
  <c r="P19" i="2"/>
  <c r="O34" i="2"/>
  <c r="O35" i="2" l="1"/>
  <c r="O54" i="2"/>
  <c r="P34" i="2"/>
  <c r="Q19" i="2"/>
  <c r="P35" i="2" l="1"/>
  <c r="P54" i="2"/>
  <c r="Q34" i="2"/>
  <c r="Q54" i="2" s="1"/>
  <c r="R19" i="2"/>
  <c r="Q35" i="2" l="1"/>
  <c r="R34" i="2"/>
  <c r="R54" i="2" s="1"/>
  <c r="S19" i="2"/>
  <c r="R35" i="2" l="1"/>
  <c r="T19" i="2"/>
  <c r="S34" i="2"/>
  <c r="S54" i="2" s="1"/>
  <c r="U19" i="2" l="1"/>
  <c r="T34" i="2"/>
  <c r="T54" i="2" s="1"/>
  <c r="S35" i="2"/>
  <c r="U34" i="2" l="1"/>
  <c r="U54" i="2" s="1"/>
  <c r="T35" i="2"/>
  <c r="U35" i="2" l="1"/>
  <c r="I14" i="2" l="1"/>
  <c r="J14" i="2" l="1"/>
  <c r="J15" i="2"/>
  <c r="G17" i="2"/>
  <c r="H17" i="2" s="1"/>
  <c r="I17" i="2" s="1"/>
  <c r="G15" i="2"/>
  <c r="G16" i="2"/>
  <c r="H16" i="2" s="1"/>
  <c r="I16" i="2" s="1"/>
  <c r="G49" i="2"/>
  <c r="G46" i="2"/>
  <c r="G47" i="2" s="1"/>
  <c r="F55" i="2"/>
  <c r="J16" i="2" l="1"/>
  <c r="H15" i="2"/>
  <c r="I15" i="2" s="1"/>
  <c r="J17" i="2"/>
  <c r="G55" i="2"/>
  <c r="G43" i="2"/>
  <c r="F58" i="2"/>
  <c r="F59" i="2" s="1"/>
  <c r="F56" i="2"/>
  <c r="G51" i="2" s="1"/>
  <c r="G48" i="2"/>
  <c r="H42" i="2"/>
  <c r="F78" i="2"/>
  <c r="F67" i="2" l="1"/>
  <c r="F68" i="2" s="1"/>
  <c r="G63" i="2" s="1"/>
  <c r="G53" i="2"/>
  <c r="G52" i="2" s="1"/>
  <c r="F79" i="2"/>
  <c r="F80" i="2"/>
  <c r="F85" i="2"/>
  <c r="H44" i="2"/>
  <c r="H46" i="2" s="1"/>
  <c r="H45" i="2"/>
  <c r="G66" i="2"/>
  <c r="F71" i="2" l="1"/>
  <c r="F69" i="2"/>
  <c r="G56" i="2"/>
  <c r="H51" i="2" s="1"/>
  <c r="G58" i="2"/>
  <c r="G59" i="2" s="1"/>
  <c r="H48" i="2"/>
  <c r="H47" i="2"/>
  <c r="I42" i="2" s="1"/>
  <c r="F81" i="2"/>
  <c r="F72" i="2"/>
  <c r="F73" i="2" s="1"/>
  <c r="F74" i="2" s="1"/>
  <c r="H49" i="2"/>
  <c r="H43" i="2" s="1"/>
  <c r="G64" i="2"/>
  <c r="G70" i="2"/>
  <c r="G65" i="2"/>
  <c r="H22" i="2"/>
  <c r="H29" i="2"/>
  <c r="F82" i="2" l="1"/>
  <c r="F86" i="2" s="1"/>
  <c r="I44" i="2"/>
  <c r="I46" i="2" s="1"/>
  <c r="I49" i="2" s="1"/>
  <c r="I43" i="2" s="1"/>
  <c r="G67" i="2"/>
  <c r="G71" i="2" s="1"/>
  <c r="G72" i="2" s="1"/>
  <c r="G73" i="2" s="1"/>
  <c r="G74" i="2" s="1"/>
  <c r="H53" i="2"/>
  <c r="I45" i="2"/>
  <c r="I22" i="2" s="1"/>
  <c r="H66" i="2"/>
  <c r="H55" i="2"/>
  <c r="F84" i="2" l="1"/>
  <c r="F83" i="2"/>
  <c r="G78" i="2" s="1"/>
  <c r="G81" i="2" s="1"/>
  <c r="H56" i="2"/>
  <c r="I29" i="2"/>
  <c r="H52" i="2"/>
  <c r="H58" i="2"/>
  <c r="I51" i="2"/>
  <c r="G69" i="2"/>
  <c r="G68" i="2"/>
  <c r="H63" i="2" s="1"/>
  <c r="H70" i="2" s="1"/>
  <c r="I48" i="2"/>
  <c r="I47" i="2"/>
  <c r="J42" i="2" s="1"/>
  <c r="J44" i="2" s="1"/>
  <c r="J46" i="2" s="1"/>
  <c r="J49" i="2" s="1"/>
  <c r="I55" i="2"/>
  <c r="I66" i="2"/>
  <c r="H59" i="2"/>
  <c r="F87" i="2"/>
  <c r="F88" i="2" s="1"/>
  <c r="F89" i="2" s="1"/>
  <c r="F93" i="2" s="1"/>
  <c r="F21" i="2" s="1"/>
  <c r="G79" i="2" l="1"/>
  <c r="G82" i="2" s="1"/>
  <c r="G86" i="2" s="1"/>
  <c r="G87" i="2" s="1"/>
  <c r="G88" i="2" s="1"/>
  <c r="G89" i="2" s="1"/>
  <c r="G93" i="2" s="1"/>
  <c r="G80" i="2"/>
  <c r="G85" i="2"/>
  <c r="I58" i="2"/>
  <c r="I59" i="2" s="1"/>
  <c r="H65" i="2"/>
  <c r="H64" i="2"/>
  <c r="H67" i="2" s="1"/>
  <c r="J45" i="2"/>
  <c r="J47" i="2" s="1"/>
  <c r="K42" i="2" s="1"/>
  <c r="I53" i="2"/>
  <c r="I56" i="2" s="1"/>
  <c r="J55" i="2"/>
  <c r="J43" i="2"/>
  <c r="F24" i="2"/>
  <c r="F94" i="2"/>
  <c r="F28" i="2" s="1"/>
  <c r="J66" i="2"/>
  <c r="J48" i="2" l="1"/>
  <c r="J58" i="2"/>
  <c r="I52" i="2"/>
  <c r="H69" i="2"/>
  <c r="K45" i="2"/>
  <c r="K44" i="2"/>
  <c r="K46" i="2" s="1"/>
  <c r="K49" i="2" s="1"/>
  <c r="K43" i="2" s="1"/>
  <c r="J29" i="2"/>
  <c r="J22" i="2"/>
  <c r="J51" i="2"/>
  <c r="H68" i="2"/>
  <c r="I63" i="2" s="1"/>
  <c r="I65" i="2" s="1"/>
  <c r="H71" i="2"/>
  <c r="H72" i="2" s="1"/>
  <c r="H73" i="2" s="1"/>
  <c r="H74" i="2" s="1"/>
  <c r="G83" i="2"/>
  <c r="H78" i="2" s="1"/>
  <c r="H79" i="2" s="1"/>
  <c r="G84" i="2"/>
  <c r="G94" i="2"/>
  <c r="G28" i="2" s="1"/>
  <c r="G31" i="2" s="1"/>
  <c r="F31" i="2"/>
  <c r="G21" i="2"/>
  <c r="K29" i="2"/>
  <c r="F95" i="2"/>
  <c r="F96" i="2" s="1"/>
  <c r="K55" i="2" l="1"/>
  <c r="K58" i="2" s="1"/>
  <c r="K66" i="2"/>
  <c r="K47" i="2"/>
  <c r="L42" i="2" s="1"/>
  <c r="L45" i="2" s="1"/>
  <c r="K48" i="2"/>
  <c r="K22" i="2"/>
  <c r="J53" i="2"/>
  <c r="I64" i="2"/>
  <c r="I67" i="2" s="1"/>
  <c r="I71" i="2" s="1"/>
  <c r="I72" i="2" s="1"/>
  <c r="J59" i="2"/>
  <c r="I70" i="2"/>
  <c r="H81" i="2"/>
  <c r="H82" i="2" s="1"/>
  <c r="H85" i="2"/>
  <c r="H80" i="2"/>
  <c r="G95" i="2"/>
  <c r="G96" i="2" s="1"/>
  <c r="G24" i="2"/>
  <c r="L44" i="2" l="1"/>
  <c r="L46" i="2" s="1"/>
  <c r="L49" i="2" s="1"/>
  <c r="L43" i="2" s="1"/>
  <c r="J56" i="2"/>
  <c r="J52" i="2"/>
  <c r="I69" i="2"/>
  <c r="I68" i="2"/>
  <c r="J63" i="2" s="1"/>
  <c r="J65" i="2" s="1"/>
  <c r="K51" i="2"/>
  <c r="K59" i="2"/>
  <c r="H83" i="2"/>
  <c r="I78" i="2" s="1"/>
  <c r="I80" i="2" s="1"/>
  <c r="H84" i="2"/>
  <c r="H86" i="2"/>
  <c r="H87" i="2" s="1"/>
  <c r="H88" i="2" s="1"/>
  <c r="H89" i="2" s="1"/>
  <c r="H93" i="2" s="1"/>
  <c r="L22" i="2"/>
  <c r="L29" i="2"/>
  <c r="I73" i="2"/>
  <c r="I74" i="2" s="1"/>
  <c r="J64" i="2" l="1"/>
  <c r="J67" i="2" s="1"/>
  <c r="J71" i="2" s="1"/>
  <c r="J72" i="2" s="1"/>
  <c r="J73" i="2" s="1"/>
  <c r="J74" i="2" s="1"/>
  <c r="L48" i="2"/>
  <c r="L47" i="2"/>
  <c r="M42" i="2" s="1"/>
  <c r="M45" i="2" s="1"/>
  <c r="L55" i="2"/>
  <c r="L58" i="2" s="1"/>
  <c r="L59" i="2" s="1"/>
  <c r="L66" i="2"/>
  <c r="J70" i="2"/>
  <c r="K53" i="2"/>
  <c r="K52" i="2" s="1"/>
  <c r="I85" i="2"/>
  <c r="I79" i="2"/>
  <c r="I81" i="2"/>
  <c r="M44" i="2"/>
  <c r="M46" i="2" s="1"/>
  <c r="H94" i="2"/>
  <c r="H28" i="2" s="1"/>
  <c r="J68" i="2"/>
  <c r="K63" i="2" s="1"/>
  <c r="H21" i="2"/>
  <c r="J69" i="2" l="1"/>
  <c r="K56" i="2"/>
  <c r="L51" i="2" s="1"/>
  <c r="I82" i="2"/>
  <c r="I86" i="2" s="1"/>
  <c r="I87" i="2" s="1"/>
  <c r="I88" i="2" s="1"/>
  <c r="I89" i="2" s="1"/>
  <c r="I93" i="2" s="1"/>
  <c r="H95" i="2"/>
  <c r="H96" i="2" s="1"/>
  <c r="M48" i="2"/>
  <c r="M49" i="2"/>
  <c r="M43" i="2" s="1"/>
  <c r="H24" i="2"/>
  <c r="H31" i="2"/>
  <c r="M29" i="2"/>
  <c r="M22" i="2"/>
  <c r="K64" i="2"/>
  <c r="K67" i="2" s="1"/>
  <c r="K71" i="2" s="1"/>
  <c r="K70" i="2"/>
  <c r="K65" i="2"/>
  <c r="M47" i="2"/>
  <c r="N42" i="2" s="1"/>
  <c r="L53" i="2" l="1"/>
  <c r="L52" i="2" s="1"/>
  <c r="I84" i="2"/>
  <c r="I83" i="2"/>
  <c r="J78" i="2" s="1"/>
  <c r="J85" i="2" s="1"/>
  <c r="K68" i="2"/>
  <c r="L63" i="2" s="1"/>
  <c r="L64" i="2" s="1"/>
  <c r="L67" i="2" s="1"/>
  <c r="L71" i="2" s="1"/>
  <c r="I94" i="2"/>
  <c r="I95" i="2" s="1"/>
  <c r="I96" i="2" s="1"/>
  <c r="I21" i="2"/>
  <c r="N44" i="2"/>
  <c r="N45" i="2"/>
  <c r="K72" i="2"/>
  <c r="K73" i="2" s="1"/>
  <c r="K74" i="2" s="1"/>
  <c r="K69" i="2"/>
  <c r="M66" i="2"/>
  <c r="M55" i="2"/>
  <c r="M58" i="2" l="1"/>
  <c r="M59" i="2" s="1"/>
  <c r="L56" i="2"/>
  <c r="M51" i="2" s="1"/>
  <c r="J81" i="2"/>
  <c r="J79" i="2"/>
  <c r="J80" i="2"/>
  <c r="L65" i="2"/>
  <c r="L68" i="2" s="1"/>
  <c r="M63" i="2" s="1"/>
  <c r="M64" i="2" s="1"/>
  <c r="L70" i="2"/>
  <c r="I28" i="2"/>
  <c r="I31" i="2" s="1"/>
  <c r="L72" i="2"/>
  <c r="L73" i="2" s="1"/>
  <c r="L74" i="2" s="1"/>
  <c r="I24" i="2"/>
  <c r="N46" i="2"/>
  <c r="N22" i="2"/>
  <c r="N29" i="2"/>
  <c r="M53" i="2" l="1"/>
  <c r="J82" i="2"/>
  <c r="J86" i="2" s="1"/>
  <c r="J87" i="2" s="1"/>
  <c r="J88" i="2" s="1"/>
  <c r="J89" i="2" s="1"/>
  <c r="J93" i="2" s="1"/>
  <c r="J21" i="2" s="1"/>
  <c r="J24" i="2" s="1"/>
  <c r="L69" i="2"/>
  <c r="M65" i="2"/>
  <c r="M70" i="2"/>
  <c r="M67" i="2"/>
  <c r="N49" i="2"/>
  <c r="N43" i="2" s="1"/>
  <c r="N48" i="2"/>
  <c r="N47" i="2"/>
  <c r="O42" i="2" s="1"/>
  <c r="M56" i="2" l="1"/>
  <c r="N51" i="2" s="1"/>
  <c r="N53" i="2" s="1"/>
  <c r="M52" i="2"/>
  <c r="J94" i="2"/>
  <c r="J28" i="2" s="1"/>
  <c r="J31" i="2" s="1"/>
  <c r="J84" i="2"/>
  <c r="J83" i="2"/>
  <c r="K78" i="2" s="1"/>
  <c r="M68" i="2"/>
  <c r="N63" i="2" s="1"/>
  <c r="N65" i="2" s="1"/>
  <c r="M69" i="2"/>
  <c r="M71" i="2"/>
  <c r="M72" i="2" s="1"/>
  <c r="N66" i="2"/>
  <c r="N55" i="2"/>
  <c r="O44" i="2"/>
  <c r="O46" i="2" s="1"/>
  <c r="O49" i="2" s="1"/>
  <c r="O45" i="2"/>
  <c r="N52" i="2" l="1"/>
  <c r="N56" i="2"/>
  <c r="O51" i="2" s="1"/>
  <c r="N58" i="2"/>
  <c r="N59" i="2" s="1"/>
  <c r="J95" i="2"/>
  <c r="J96" i="2" s="1"/>
  <c r="N64" i="2"/>
  <c r="K81" i="2"/>
  <c r="K80" i="2"/>
  <c r="K79" i="2"/>
  <c r="K85" i="2"/>
  <c r="O66" i="2"/>
  <c r="O43" i="2"/>
  <c r="N70" i="2"/>
  <c r="O47" i="2"/>
  <c r="P42" i="2" s="1"/>
  <c r="O55" i="2"/>
  <c r="O29" i="2"/>
  <c r="O22" i="2"/>
  <c r="M73" i="2"/>
  <c r="M74" i="2" s="1"/>
  <c r="O48" i="2"/>
  <c r="O58" i="2" l="1"/>
  <c r="N67" i="2"/>
  <c r="N71" i="2" s="1"/>
  <c r="N72" i="2" s="1"/>
  <c r="N73" i="2" s="1"/>
  <c r="N74" i="2" s="1"/>
  <c r="P45" i="2"/>
  <c r="P29" i="2" s="1"/>
  <c r="K82" i="2"/>
  <c r="K86" i="2" s="1"/>
  <c r="K87" i="2" s="1"/>
  <c r="K88" i="2" s="1"/>
  <c r="K89" i="2" s="1"/>
  <c r="K93" i="2" s="1"/>
  <c r="K21" i="2" s="1"/>
  <c r="K24" i="2" s="1"/>
  <c r="O53" i="2"/>
  <c r="O52" i="2" s="1"/>
  <c r="P44" i="2"/>
  <c r="P46" i="2" s="1"/>
  <c r="P49" i="2" s="1"/>
  <c r="N68" i="2" l="1"/>
  <c r="O63" i="2" s="1"/>
  <c r="O64" i="2" s="1"/>
  <c r="N69" i="2"/>
  <c r="P22" i="2"/>
  <c r="O56" i="2"/>
  <c r="P51" i="2" s="1"/>
  <c r="O59" i="2"/>
  <c r="O67" i="2" s="1"/>
  <c r="O71" i="2" s="1"/>
  <c r="O72" i="2" s="1"/>
  <c r="O73" i="2" s="1"/>
  <c r="O74" i="2" s="1"/>
  <c r="K84" i="2"/>
  <c r="K83" i="2"/>
  <c r="L78" i="2" s="1"/>
  <c r="L79" i="2" s="1"/>
  <c r="K94" i="2"/>
  <c r="K28" i="2" s="1"/>
  <c r="K31" i="2" s="1"/>
  <c r="P55" i="2"/>
  <c r="P43" i="2"/>
  <c r="P48" i="2"/>
  <c r="P47" i="2"/>
  <c r="Q42" i="2" s="1"/>
  <c r="P66" i="2"/>
  <c r="O65" i="2" l="1"/>
  <c r="O68" i="2" s="1"/>
  <c r="P63" i="2" s="1"/>
  <c r="P64" i="2" s="1"/>
  <c r="O70" i="2"/>
  <c r="P58" i="2"/>
  <c r="Q45" i="2"/>
  <c r="Q22" i="2" s="1"/>
  <c r="L80" i="2"/>
  <c r="L81" i="2"/>
  <c r="L82" i="2" s="1"/>
  <c r="L86" i="2" s="1"/>
  <c r="L87" i="2" s="1"/>
  <c r="L88" i="2" s="1"/>
  <c r="L89" i="2" s="1"/>
  <c r="L93" i="2" s="1"/>
  <c r="L85" i="2"/>
  <c r="K95" i="2"/>
  <c r="K96" i="2" s="1"/>
  <c r="P53" i="2"/>
  <c r="P52" i="2" s="1"/>
  <c r="Q44" i="2"/>
  <c r="Q46" i="2" s="1"/>
  <c r="Q49" i="2" s="1"/>
  <c r="Q55" i="2" s="1"/>
  <c r="O69" i="2" l="1"/>
  <c r="Q29" i="2"/>
  <c r="P70" i="2"/>
  <c r="P65" i="2"/>
  <c r="Q58" i="2"/>
  <c r="P56" i="2"/>
  <c r="Q51" i="2" s="1"/>
  <c r="P59" i="2"/>
  <c r="L83" i="2"/>
  <c r="M78" i="2" s="1"/>
  <c r="M85" i="2" s="1"/>
  <c r="Q48" i="2"/>
  <c r="Q66" i="2"/>
  <c r="L21" i="2"/>
  <c r="L24" i="2" s="1"/>
  <c r="L94" i="2"/>
  <c r="L28" i="2" s="1"/>
  <c r="L31" i="2" s="1"/>
  <c r="Q47" i="2"/>
  <c r="R42" i="2" s="1"/>
  <c r="L84" i="2"/>
  <c r="Q43" i="2"/>
  <c r="P67" i="2"/>
  <c r="P69" i="2" l="1"/>
  <c r="R45" i="2"/>
  <c r="R22" i="2" s="1"/>
  <c r="Q53" i="2"/>
  <c r="Q52" i="2" s="1"/>
  <c r="M80" i="2"/>
  <c r="M79" i="2"/>
  <c r="M81" i="2"/>
  <c r="R44" i="2"/>
  <c r="R46" i="2" s="1"/>
  <c r="R49" i="2" s="1"/>
  <c r="R55" i="2" s="1"/>
  <c r="L95" i="2"/>
  <c r="L96" i="2" s="1"/>
  <c r="P71" i="2"/>
  <c r="P72" i="2" s="1"/>
  <c r="P68" i="2"/>
  <c r="Q63" i="2" s="1"/>
  <c r="R58" i="2" l="1"/>
  <c r="Q56" i="2"/>
  <c r="R51" i="2" s="1"/>
  <c r="R29" i="2"/>
  <c r="R47" i="2"/>
  <c r="S42" i="2" s="1"/>
  <c r="S44" i="2" s="1"/>
  <c r="S46" i="2" s="1"/>
  <c r="S49" i="2" s="1"/>
  <c r="Q59" i="2"/>
  <c r="M82" i="2"/>
  <c r="M86" i="2" s="1"/>
  <c r="M87" i="2" s="1"/>
  <c r="M88" i="2" s="1"/>
  <c r="M89" i="2" s="1"/>
  <c r="M93" i="2" s="1"/>
  <c r="R43" i="2"/>
  <c r="R66" i="2"/>
  <c r="R48" i="2"/>
  <c r="Q64" i="2"/>
  <c r="Q70" i="2"/>
  <c r="Q65" i="2"/>
  <c r="P73" i="2"/>
  <c r="P74" i="2" s="1"/>
  <c r="Q67" i="2" l="1"/>
  <c r="Q71" i="2" s="1"/>
  <c r="Q72" i="2" s="1"/>
  <c r="Q73" i="2" s="1"/>
  <c r="Q74" i="2" s="1"/>
  <c r="S45" i="2"/>
  <c r="S47" i="2" s="1"/>
  <c r="T42" i="2" s="1"/>
  <c r="M83" i="2"/>
  <c r="N78" i="2" s="1"/>
  <c r="N80" i="2" s="1"/>
  <c r="M84" i="2"/>
  <c r="R53" i="2"/>
  <c r="R52" i="2" s="1"/>
  <c r="M94" i="2"/>
  <c r="M28" i="2" s="1"/>
  <c r="M31" i="2" s="1"/>
  <c r="M21" i="2"/>
  <c r="M24" i="2" s="1"/>
  <c r="S55" i="2"/>
  <c r="S43" i="2"/>
  <c r="S66" i="2"/>
  <c r="Q68" i="2" l="1"/>
  <c r="R63" i="2" s="1"/>
  <c r="R65" i="2" s="1"/>
  <c r="Q69" i="2"/>
  <c r="S48" i="2"/>
  <c r="S58" i="2"/>
  <c r="N85" i="2"/>
  <c r="N81" i="2"/>
  <c r="R56" i="2"/>
  <c r="S51" i="2" s="1"/>
  <c r="N79" i="2"/>
  <c r="T45" i="2"/>
  <c r="T29" i="2" s="1"/>
  <c r="S22" i="2"/>
  <c r="S29" i="2"/>
  <c r="R59" i="2"/>
  <c r="M95" i="2"/>
  <c r="M96" i="2" s="1"/>
  <c r="T44" i="2"/>
  <c r="T46" i="2" s="1"/>
  <c r="T49" i="2" s="1"/>
  <c r="T43" i="2" s="1"/>
  <c r="R64" i="2" l="1"/>
  <c r="R67" i="2" s="1"/>
  <c r="R71" i="2" s="1"/>
  <c r="R72" i="2" s="1"/>
  <c r="R73" i="2" s="1"/>
  <c r="R74" i="2" s="1"/>
  <c r="R70" i="2"/>
  <c r="T22" i="2"/>
  <c r="N82" i="2"/>
  <c r="N86" i="2" s="1"/>
  <c r="N87" i="2" s="1"/>
  <c r="N88" i="2" s="1"/>
  <c r="N89" i="2" s="1"/>
  <c r="N93" i="2" s="1"/>
  <c r="N21" i="2" s="1"/>
  <c r="N24" i="2" s="1"/>
  <c r="S53" i="2"/>
  <c r="S52" i="2" s="1"/>
  <c r="S59" i="2"/>
  <c r="T48" i="2"/>
  <c r="T66" i="2"/>
  <c r="T55" i="2"/>
  <c r="T47" i="2"/>
  <c r="U42" i="2" s="1"/>
  <c r="R69" i="2" l="1"/>
  <c r="R68" i="2"/>
  <c r="S63" i="2" s="1"/>
  <c r="S64" i="2" s="1"/>
  <c r="N84" i="2"/>
  <c r="N83" i="2"/>
  <c r="O78" i="2" s="1"/>
  <c r="O80" i="2" s="1"/>
  <c r="N94" i="2"/>
  <c r="N28" i="2" s="1"/>
  <c r="N31" i="2" s="1"/>
  <c r="S56" i="2"/>
  <c r="T58" i="2"/>
  <c r="T59" i="2" s="1"/>
  <c r="U45" i="2"/>
  <c r="U44" i="2"/>
  <c r="U46" i="2" s="1"/>
  <c r="U49" i="2" s="1"/>
  <c r="U43" i="2" s="1"/>
  <c r="F43" i="2" l="1"/>
  <c r="S67" i="2"/>
  <c r="S71" i="2" s="1"/>
  <c r="S72" i="2" s="1"/>
  <c r="S73" i="2" s="1"/>
  <c r="S74" i="2" s="1"/>
  <c r="S70" i="2"/>
  <c r="S65" i="2"/>
  <c r="O79" i="2"/>
  <c r="O85" i="2"/>
  <c r="N95" i="2"/>
  <c r="N96" i="2" s="1"/>
  <c r="O81" i="2"/>
  <c r="T51" i="2"/>
  <c r="U48" i="2"/>
  <c r="E48" i="2" s="1"/>
  <c r="U22" i="2"/>
  <c r="U29" i="2"/>
  <c r="U66" i="2"/>
  <c r="U47" i="2"/>
  <c r="U55" i="2"/>
  <c r="S68" i="2" l="1"/>
  <c r="T63" i="2" s="1"/>
  <c r="T64" i="2" s="1"/>
  <c r="S69" i="2"/>
  <c r="O82" i="2"/>
  <c r="O86" i="2" s="1"/>
  <c r="O87" i="2" s="1"/>
  <c r="O88" i="2" s="1"/>
  <c r="O89" i="2" s="1"/>
  <c r="O93" i="2" s="1"/>
  <c r="O21" i="2" s="1"/>
  <c r="O24" i="2" s="1"/>
  <c r="U58" i="2"/>
  <c r="U59" i="2" s="1"/>
  <c r="T53" i="2"/>
  <c r="T52" i="2" s="1"/>
  <c r="T65" i="2"/>
  <c r="T70" i="2"/>
  <c r="D29" i="2"/>
  <c r="D22" i="2"/>
  <c r="T67" i="2" l="1"/>
  <c r="O83" i="2"/>
  <c r="P78" i="2" s="1"/>
  <c r="P79" i="2" s="1"/>
  <c r="O84" i="2"/>
  <c r="O94" i="2"/>
  <c r="O28" i="2" s="1"/>
  <c r="O31" i="2" s="1"/>
  <c r="T56" i="2"/>
  <c r="U51" i="2" s="1"/>
  <c r="T69" i="2"/>
  <c r="T71" i="2"/>
  <c r="T72" i="2" s="1"/>
  <c r="T73" i="2" s="1"/>
  <c r="T74" i="2" s="1"/>
  <c r="T68" i="2"/>
  <c r="U63" i="2" s="1"/>
  <c r="P81" i="2" l="1"/>
  <c r="P82" i="2" s="1"/>
  <c r="P86" i="2" s="1"/>
  <c r="P87" i="2" s="1"/>
  <c r="P88" i="2" s="1"/>
  <c r="P89" i="2" s="1"/>
  <c r="P93" i="2" s="1"/>
  <c r="P94" i="2" s="1"/>
  <c r="P28" i="2" s="1"/>
  <c r="P31" i="2" s="1"/>
  <c r="P80" i="2"/>
  <c r="P85" i="2"/>
  <c r="O95" i="2"/>
  <c r="O96" i="2" s="1"/>
  <c r="U53" i="2"/>
  <c r="U52" i="2" s="1"/>
  <c r="F52" i="2" s="1"/>
  <c r="U64" i="2"/>
  <c r="U67" i="2" s="1"/>
  <c r="U70" i="2"/>
  <c r="U65" i="2"/>
  <c r="P84" i="2" l="1"/>
  <c r="P83" i="2"/>
  <c r="Q78" i="2" s="1"/>
  <c r="Q81" i="2" s="1"/>
  <c r="P21" i="2"/>
  <c r="P24" i="2" s="1"/>
  <c r="P95" i="2"/>
  <c r="P96" i="2" s="1"/>
  <c r="U56" i="2"/>
  <c r="U69" i="2"/>
  <c r="E69" i="2" s="1"/>
  <c r="U68" i="2"/>
  <c r="U71" i="2"/>
  <c r="U72" i="2" s="1"/>
  <c r="U73" i="2" s="1"/>
  <c r="U74" i="2" s="1"/>
  <c r="Q80" i="2" l="1"/>
  <c r="Q85" i="2"/>
  <c r="Q79" i="2"/>
  <c r="Q82" i="2" s="1"/>
  <c r="Q86" i="2" s="1"/>
  <c r="Q87" i="2" s="1"/>
  <c r="Q88" i="2" s="1"/>
  <c r="Q89" i="2" s="1"/>
  <c r="Q93" i="2" s="1"/>
  <c r="Q21" i="2" s="1"/>
  <c r="Q24" i="2" s="1"/>
  <c r="Q83" i="2" l="1"/>
  <c r="R78" i="2" s="1"/>
  <c r="R80" i="2" s="1"/>
  <c r="Q84" i="2"/>
  <c r="Q94" i="2"/>
  <c r="Q28" i="2" s="1"/>
  <c r="Q31" i="2" s="1"/>
  <c r="R81" i="2" l="1"/>
  <c r="R79" i="2"/>
  <c r="R85" i="2"/>
  <c r="Q95" i="2"/>
  <c r="Q96" i="2" s="1"/>
  <c r="R82" i="2" l="1"/>
  <c r="R86" i="2" s="1"/>
  <c r="R87" i="2" s="1"/>
  <c r="R84" i="2" l="1"/>
  <c r="R83" i="2"/>
  <c r="S78" i="2" s="1"/>
  <c r="S85" i="2" s="1"/>
  <c r="R88" i="2"/>
  <c r="R89" i="2" s="1"/>
  <c r="R93" i="2" s="1"/>
  <c r="S79" i="2" l="1"/>
  <c r="S80" i="2"/>
  <c r="S81" i="2"/>
  <c r="R94" i="2"/>
  <c r="R28" i="2" s="1"/>
  <c r="R31" i="2" s="1"/>
  <c r="R21" i="2"/>
  <c r="R24" i="2" s="1"/>
  <c r="S82" i="2" l="1"/>
  <c r="S86" i="2" s="1"/>
  <c r="S87" i="2" s="1"/>
  <c r="S88" i="2" s="1"/>
  <c r="S89" i="2" s="1"/>
  <c r="S93" i="2" s="1"/>
  <c r="S21" i="2" s="1"/>
  <c r="S24" i="2" s="1"/>
  <c r="R95" i="2"/>
  <c r="R96" i="2" s="1"/>
  <c r="S83" i="2" l="1"/>
  <c r="T78" i="2" s="1"/>
  <c r="T81" i="2" s="1"/>
  <c r="S84" i="2"/>
  <c r="S94" i="2"/>
  <c r="S28" i="2" s="1"/>
  <c r="S31" i="2" s="1"/>
  <c r="T85" i="2" l="1"/>
  <c r="T79" i="2"/>
  <c r="T82" i="2" s="1"/>
  <c r="T80" i="2"/>
  <c r="S95" i="2"/>
  <c r="S96" i="2" s="1"/>
  <c r="T83" i="2" l="1"/>
  <c r="U78" i="2" s="1"/>
  <c r="U85" i="2" s="1"/>
  <c r="T84" i="2"/>
  <c r="T86" i="2"/>
  <c r="T87" i="2" s="1"/>
  <c r="T88" i="2" s="1"/>
  <c r="T89" i="2" s="1"/>
  <c r="T93" i="2" s="1"/>
  <c r="U81" i="2" l="1"/>
  <c r="U80" i="2"/>
  <c r="U79" i="2"/>
  <c r="T94" i="2"/>
  <c r="T28" i="2" s="1"/>
  <c r="T31" i="2" s="1"/>
  <c r="T21" i="2"/>
  <c r="T24" i="2" s="1"/>
  <c r="U82" i="2" l="1"/>
  <c r="U86" i="2" s="1"/>
  <c r="U87" i="2" s="1"/>
  <c r="U88" i="2" s="1"/>
  <c r="U89" i="2" s="1"/>
  <c r="U93" i="2" s="1"/>
  <c r="U21" i="2" s="1"/>
  <c r="U24" i="2" s="1"/>
  <c r="D24" i="2" s="1"/>
  <c r="T95" i="2"/>
  <c r="T96" i="2" s="1"/>
  <c r="U83" i="2" l="1"/>
  <c r="U94" i="2"/>
  <c r="U28" i="2" s="1"/>
  <c r="U31" i="2" s="1"/>
  <c r="D31" i="2" s="1"/>
  <c r="D21" i="2"/>
  <c r="D23" i="2" s="1"/>
  <c r="U84" i="2"/>
  <c r="E84" i="2" s="1"/>
  <c r="D25" i="2" l="1"/>
  <c r="U95" i="2"/>
  <c r="U96" i="2" s="1"/>
  <c r="D28" i="2"/>
  <c r="D30" i="2" s="1"/>
  <c r="L9" i="2" s="1"/>
  <c r="L8" i="2" s="1"/>
  <c r="D32" i="2" l="1"/>
</calcChain>
</file>

<file path=xl/sharedStrings.xml><?xml version="1.0" encoding="utf-8"?>
<sst xmlns="http://schemas.openxmlformats.org/spreadsheetml/2006/main" count="96" uniqueCount="65">
  <si>
    <t>Cash Flow Remaining</t>
  </si>
  <si>
    <t>Distribution to Sponsor</t>
  </si>
  <si>
    <t>Distribution to LP</t>
  </si>
  <si>
    <t>Hurdle 4</t>
  </si>
  <si>
    <t>.</t>
  </si>
  <si>
    <t>Ending Balance (LP Capital Account)</t>
  </si>
  <si>
    <t>Prior Distributions</t>
  </si>
  <si>
    <t>Contributions from LP</t>
  </si>
  <si>
    <t>Beginning Balance (LP Capital Account)</t>
  </si>
  <si>
    <t>Hurdle 3</t>
  </si>
  <si>
    <t>Hurdle 2</t>
  </si>
  <si>
    <t>Distributions to LP (Hurdle 1)</t>
  </si>
  <si>
    <t>Levered IRR</t>
  </si>
  <si>
    <t>Year Ending</t>
  </si>
  <si>
    <t>Year 0</t>
  </si>
  <si>
    <t>Net Cash Flow For Distribution</t>
  </si>
  <si>
    <t>Sponsor Equity Multiple</t>
  </si>
  <si>
    <t>Sponsor IRR</t>
  </si>
  <si>
    <t>Total Sponsor Profit</t>
  </si>
  <si>
    <t>Total Sponsor Contributions</t>
  </si>
  <si>
    <t>Total Sponsor Distributions</t>
  </si>
  <si>
    <t>Sponsor Returns</t>
  </si>
  <si>
    <t>LP Equity Multiple</t>
  </si>
  <si>
    <t>LP IRR</t>
  </si>
  <si>
    <t>Total LP Profit</t>
  </si>
  <si>
    <t>Total LP Contributions</t>
  </si>
  <si>
    <t>Total LP Distributions</t>
  </si>
  <si>
    <t>Limited Partner (LP) Returns</t>
  </si>
  <si>
    <t>Summary of Investor Level Returns</t>
  </si>
  <si>
    <t>Hurdle 1 (Preferred Return)</t>
  </si>
  <si>
    <t>LP %</t>
  </si>
  <si>
    <t>Sponsor %</t>
  </si>
  <si>
    <t>LP Investors</t>
  </si>
  <si>
    <t>Sponsor</t>
  </si>
  <si>
    <t>Amount</t>
  </si>
  <si>
    <t>%</t>
  </si>
  <si>
    <t>Equity Contributions</t>
  </si>
  <si>
    <t>Levered Before Tax Cash Flow</t>
  </si>
  <si>
    <t>Total Equity</t>
  </si>
  <si>
    <t>Equity Multiple</t>
  </si>
  <si>
    <t>Promote Structure Method</t>
  </si>
  <si>
    <t>IRR</t>
  </si>
  <si>
    <t>Return of Capital</t>
  </si>
  <si>
    <t>Return Threshold - Up to:</t>
  </si>
  <si>
    <t>Return Threshold - Greater than:</t>
  </si>
  <si>
    <t>Error Check:</t>
  </si>
  <si>
    <t>Profit Dist.:</t>
  </si>
  <si>
    <t>Net BTCF:</t>
  </si>
  <si>
    <t>Req'd Return by LP to hit Hurdle 2</t>
  </si>
  <si>
    <t>Req'd Return by LP to hit Hurdle 1</t>
  </si>
  <si>
    <t>Req'd Return by LP to hit Hurdle 3</t>
  </si>
  <si>
    <t>Return of Capital &amp; Hurdle 1 (Preferred Return)</t>
  </si>
  <si>
    <t>LP Return of Capital</t>
  </si>
  <si>
    <t>Beginning Balance (Sponsor Capital Account)</t>
  </si>
  <si>
    <t>Sponsor Return of Capital</t>
  </si>
  <si>
    <t>Req'd Return by Sponsor to hit Hurdle 1</t>
  </si>
  <si>
    <t>Contributions from Sponsor</t>
  </si>
  <si>
    <t>Ending Balance (Sponsor Capital Account)</t>
  </si>
  <si>
    <t>Pari Passu</t>
  </si>
  <si>
    <t>LP</t>
  </si>
  <si>
    <t>Distribution as %</t>
  </si>
  <si>
    <t>Promote Structure Incentive Breakdown</t>
  </si>
  <si>
    <t>Pref</t>
  </si>
  <si>
    <t>Notes</t>
  </si>
  <si>
    <t>PARTNERSHIP LEVEL RETURNS - EQUITY WATERFALL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</si>
</sst>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_);[Red]\(&quot;$&quot;#,##0\)"/>
    <numFmt numFmtId="164" formatCode="0.0%"/>
    <numFmt numFmtId="165" formatCode="[$-409]d\-mmm\-yy;@"/>
    <numFmt numFmtId="166" formatCode="&quot;Year&quot;\ 0"/>
    <numFmt numFmtId="167" formatCode="&quot; up to &quot;0.0%\ \I\R\R&quot; to LP&quot;"/>
    <numFmt numFmtId="168" formatCode="0.00&quot;x&quot;"/>
    <numFmt numFmtId="169" formatCode="&quot;&gt;&quot;\ 0.0%\ \I\R\R&quot; to LP&quot;"/>
    <numFmt numFmtId="170" formatCode="&quot; Up to &quot;0.0%\ \I\R\R&quot; to LP&quot;"/>
    <numFmt numFmtId="171" formatCode="0.00&quot;X&quot;"/>
    <numFmt numFmtId="172" formatCode="&quot;&gt;&quot;\ 0.00&quot;X EM to LP&quot;"/>
    <numFmt numFmtId="173" formatCode="&quot;IRR Error Check -&quot;\ 0.0%"/>
    <numFmt numFmtId="174" formatCode="0.000&quot;MM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8"/>
      </left>
      <right/>
      <top style="thick">
        <color theme="8"/>
      </top>
      <bottom style="thin">
        <color auto="1"/>
      </bottom>
      <diagonal/>
    </border>
    <border>
      <left/>
      <right/>
      <top style="thick">
        <color theme="8"/>
      </top>
      <bottom style="thin">
        <color auto="1"/>
      </bottom>
      <diagonal/>
    </border>
    <border>
      <left/>
      <right style="thick">
        <color theme="8"/>
      </right>
      <top style="thick">
        <color theme="8"/>
      </top>
      <bottom style="thin">
        <color auto="1"/>
      </bottom>
      <diagonal/>
    </border>
    <border>
      <left style="thick">
        <color theme="8"/>
      </left>
      <right/>
      <top/>
      <bottom/>
      <diagonal/>
    </border>
    <border>
      <left/>
      <right style="thick">
        <color theme="8"/>
      </right>
      <top/>
      <bottom/>
      <diagonal/>
    </border>
    <border>
      <left style="thick">
        <color theme="8"/>
      </left>
      <right/>
      <top/>
      <bottom style="thin">
        <color auto="1"/>
      </bottom>
      <diagonal/>
    </border>
    <border>
      <left/>
      <right style="thick">
        <color theme="8"/>
      </right>
      <top/>
      <bottom style="thin">
        <color auto="1"/>
      </bottom>
      <diagonal/>
    </border>
    <border>
      <left style="thick">
        <color theme="8"/>
      </left>
      <right/>
      <top/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 style="thick">
        <color theme="8"/>
      </right>
      <top/>
      <bottom style="thick">
        <color theme="8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10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0" fontId="2" fillId="3" borderId="0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right" vertical="center"/>
    </xf>
    <xf numFmtId="0" fontId="0" fillId="3" borderId="1" xfId="0" applyFill="1" applyBorder="1"/>
    <xf numFmtId="169" fontId="6" fillId="3" borderId="1" xfId="0" applyNumberFormat="1" applyFont="1" applyFill="1" applyBorder="1"/>
    <xf numFmtId="167" fontId="5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8" fillId="3" borderId="8" xfId="0" applyFont="1" applyFill="1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3" borderId="11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12" xfId="0" applyFill="1" applyBorder="1"/>
    <xf numFmtId="0" fontId="4" fillId="3" borderId="13" xfId="0" applyFont="1" applyFill="1" applyBorder="1"/>
    <xf numFmtId="0" fontId="4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9" fontId="6" fillId="3" borderId="0" xfId="0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70" fontId="5" fillId="3" borderId="0" xfId="0" applyNumberFormat="1" applyFont="1" applyFill="1" applyBorder="1" applyAlignment="1">
      <alignment horizontal="left"/>
    </xf>
    <xf numFmtId="9" fontId="5" fillId="3" borderId="0" xfId="0" applyNumberFormat="1" applyFont="1" applyFill="1" applyBorder="1" applyAlignment="1">
      <alignment horizontal="center"/>
    </xf>
    <xf numFmtId="10" fontId="0" fillId="3" borderId="0" xfId="0" applyNumberFormat="1" applyFill="1" applyBorder="1" applyAlignment="1">
      <alignment horizontal="center"/>
    </xf>
    <xf numFmtId="169" fontId="6" fillId="3" borderId="0" xfId="0" applyNumberFormat="1" applyFont="1" applyFill="1" applyBorder="1"/>
    <xf numFmtId="167" fontId="5" fillId="3" borderId="0" xfId="0" applyNumberFormat="1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0" fillId="3" borderId="11" xfId="0" applyFill="1" applyBorder="1" applyAlignment="1">
      <alignment horizontal="left" indent="1"/>
    </xf>
    <xf numFmtId="6" fontId="5" fillId="3" borderId="0" xfId="0" applyNumberFormat="1" applyFont="1" applyFill="1" applyBorder="1"/>
    <xf numFmtId="10" fontId="5" fillId="3" borderId="0" xfId="0" applyNumberFormat="1" applyFont="1" applyFill="1" applyBorder="1"/>
    <xf numFmtId="168" fontId="5" fillId="3" borderId="0" xfId="0" applyNumberFormat="1" applyFont="1" applyFill="1" applyBorder="1"/>
    <xf numFmtId="0" fontId="10" fillId="3" borderId="11" xfId="0" applyFont="1" applyFill="1" applyBorder="1" applyAlignment="1">
      <alignment horizontal="left" indent="1"/>
    </xf>
    <xf numFmtId="0" fontId="10" fillId="3" borderId="0" xfId="0" applyFont="1" applyFill="1" applyBorder="1"/>
    <xf numFmtId="6" fontId="10" fillId="3" borderId="0" xfId="0" applyNumberFormat="1" applyFont="1" applyFill="1" applyBorder="1"/>
    <xf numFmtId="3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0" fontId="4" fillId="3" borderId="11" xfId="0" applyFont="1" applyFill="1" applyBorder="1"/>
    <xf numFmtId="0" fontId="2" fillId="3" borderId="11" xfId="0" applyFont="1" applyFill="1" applyBorder="1"/>
    <xf numFmtId="0" fontId="2" fillId="3" borderId="0" xfId="0" applyFont="1" applyFill="1" applyBorder="1"/>
    <xf numFmtId="0" fontId="2" fillId="3" borderId="12" xfId="0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8" fillId="3" borderId="11" xfId="0" applyFont="1" applyFill="1" applyBorder="1"/>
    <xf numFmtId="0" fontId="13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6" fontId="5" fillId="3" borderId="0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3" fillId="3" borderId="0" xfId="0" applyFon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166" fontId="0" fillId="3" borderId="1" xfId="0" applyNumberFormat="1" applyFill="1" applyBorder="1" applyAlignment="1">
      <alignment horizontal="right"/>
    </xf>
    <xf numFmtId="166" fontId="0" fillId="3" borderId="14" xfId="0" applyNumberFormat="1" applyFill="1" applyBorder="1" applyAlignment="1">
      <alignment horizontal="right"/>
    </xf>
    <xf numFmtId="9" fontId="6" fillId="3" borderId="0" xfId="0" applyNumberFormat="1" applyFont="1" applyFill="1" applyBorder="1" applyAlignment="1">
      <alignment horizontal="right"/>
    </xf>
    <xf numFmtId="9" fontId="5" fillId="3" borderId="0" xfId="0" applyNumberFormat="1" applyFont="1" applyFill="1" applyBorder="1" applyAlignment="1">
      <alignment horizontal="right"/>
    </xf>
    <xf numFmtId="10" fontId="0" fillId="3" borderId="0" xfId="0" applyNumberFormat="1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3" fontId="5" fillId="3" borderId="12" xfId="0" applyNumberFormat="1" applyFont="1" applyFill="1" applyBorder="1" applyAlignment="1">
      <alignment horizontal="right"/>
    </xf>
    <xf numFmtId="165" fontId="0" fillId="3" borderId="0" xfId="0" applyNumberFormat="1" applyFill="1" applyBorder="1" applyAlignment="1">
      <alignment horizontal="right"/>
    </xf>
    <xf numFmtId="165" fontId="0" fillId="3" borderId="12" xfId="0" applyNumberFormat="1" applyFill="1" applyBorder="1" applyAlignment="1">
      <alignment horizontal="right"/>
    </xf>
    <xf numFmtId="171" fontId="0" fillId="3" borderId="0" xfId="0" applyNumberFormat="1" applyFill="1" applyBorder="1" applyAlignment="1">
      <alignment horizontal="right"/>
    </xf>
    <xf numFmtId="3" fontId="10" fillId="3" borderId="0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0" fillId="3" borderId="12" xfId="0" applyNumberForma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/>
    </xf>
    <xf numFmtId="3" fontId="0" fillId="3" borderId="16" xfId="0" applyNumberFormat="1" applyFill="1" applyBorder="1" applyAlignment="1">
      <alignment horizontal="right"/>
    </xf>
    <xf numFmtId="3" fontId="0" fillId="3" borderId="17" xfId="0" applyNumberFormat="1" applyFill="1" applyBorder="1" applyAlignment="1">
      <alignment horizontal="right"/>
    </xf>
    <xf numFmtId="173" fontId="0" fillId="3" borderId="11" xfId="0" applyNumberFormat="1" applyFill="1" applyBorder="1" applyAlignment="1">
      <alignment horizontal="left"/>
    </xf>
    <xf numFmtId="164" fontId="6" fillId="4" borderId="0" xfId="0" applyNumberFormat="1" applyFont="1" applyFill="1" applyBorder="1" applyAlignment="1" applyProtection="1">
      <alignment horizontal="right"/>
      <protection locked="0"/>
    </xf>
    <xf numFmtId="169" fontId="6" fillId="4" borderId="0" xfId="0" applyNumberFormat="1" applyFont="1" applyFill="1" applyBorder="1" applyAlignment="1" applyProtection="1">
      <alignment horizontal="right"/>
      <protection locked="0"/>
    </xf>
    <xf numFmtId="165" fontId="6" fillId="4" borderId="0" xfId="0" applyNumberFormat="1" applyFont="1" applyFill="1" applyBorder="1" applyAlignment="1" applyProtection="1">
      <alignment horizontal="right"/>
      <protection locked="0"/>
    </xf>
    <xf numFmtId="3" fontId="6" fillId="4" borderId="0" xfId="0" applyNumberFormat="1" applyFont="1" applyFill="1" applyBorder="1" applyAlignment="1" applyProtection="1">
      <alignment horizontal="right"/>
      <protection locked="0"/>
    </xf>
    <xf numFmtId="3" fontId="6" fillId="4" borderId="12" xfId="0" applyNumberFormat="1" applyFont="1" applyFill="1" applyBorder="1" applyAlignment="1" applyProtection="1">
      <alignment horizontal="right"/>
      <protection locked="0"/>
    </xf>
    <xf numFmtId="172" fontId="6" fillId="4" borderId="0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left" vertical="center"/>
    </xf>
    <xf numFmtId="174" fontId="11" fillId="3" borderId="5" xfId="0" applyNumberFormat="1" applyFont="1" applyFill="1" applyBorder="1" applyAlignment="1">
      <alignment horizontal="left" vertical="center"/>
    </xf>
    <xf numFmtId="174" fontId="11" fillId="3" borderId="7" xfId="0" applyNumberFormat="1" applyFont="1" applyFill="1" applyBorder="1" applyAlignment="1">
      <alignment horizontal="left" vertical="center"/>
    </xf>
    <xf numFmtId="3" fontId="14" fillId="3" borderId="0" xfId="0" applyNumberFormat="1" applyFont="1" applyFill="1" applyBorder="1" applyAlignment="1">
      <alignment horizontal="right"/>
    </xf>
    <xf numFmtId="10" fontId="15" fillId="0" borderId="0" xfId="0" applyNumberFormat="1" applyFont="1" applyFill="1" applyBorder="1" applyAlignment="1">
      <alignment horizontal="right"/>
    </xf>
    <xf numFmtId="164" fontId="0" fillId="3" borderId="20" xfId="0" applyNumberForma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164" fontId="16" fillId="3" borderId="0" xfId="0" applyNumberFormat="1" applyFont="1" applyFill="1" applyBorder="1" applyAlignment="1">
      <alignment horizontal="center"/>
    </xf>
    <xf numFmtId="164" fontId="16" fillId="3" borderId="2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left"/>
    </xf>
  </cellXfs>
  <cellStyles count="2">
    <cellStyle name="Normal" xfId="0" builtinId="0"/>
    <cellStyle name="Normal 4" xfId="1"/>
  </cellStyles>
  <dxfs count="15">
    <dxf>
      <numFmt numFmtId="175" formatCode="&quot; up to &quot;0.00&quot;X EM to LP&quot;"/>
    </dxf>
    <dxf>
      <numFmt numFmtId="175" formatCode="&quot; up to &quot;0.00&quot;X EM to LP&quot;"/>
    </dxf>
    <dxf>
      <font>
        <color theme="0"/>
      </font>
      <fill>
        <patternFill>
          <bgColor rgb="FFFF0000"/>
        </patternFill>
      </fill>
    </dxf>
    <dxf>
      <numFmt numFmtId="175" formatCode="&quot; up to &quot;0.00&quot;X EM to LP&quot;"/>
    </dxf>
    <dxf>
      <numFmt numFmtId="175" formatCode="&quot; up to &quot;0.00&quot;X EM to LP&quot;"/>
    </dxf>
    <dxf>
      <numFmt numFmtId="175" formatCode="&quot; up to &quot;0.00&quot;X EM to LP&quot;"/>
    </dxf>
    <dxf>
      <numFmt numFmtId="175" formatCode="&quot; up to &quot;0.00&quot;X EM to LP&quot;"/>
    </dxf>
    <dxf>
      <numFmt numFmtId="175" formatCode="&quot; up to &quot;0.00&quot;X EM to LP&quot;"/>
    </dxf>
    <dxf>
      <numFmt numFmtId="175" formatCode="&quot; up to &quot;0.00&quot;X EM to LP&quot;"/>
    </dxf>
    <dxf>
      <numFmt numFmtId="175" formatCode="&quot; up to &quot;0.00&quot;X EM to LP&quot;"/>
    </dxf>
    <dxf>
      <numFmt numFmtId="175" formatCode="&quot; up to &quot;0.00&quot;X EM to LP&quot;"/>
    </dxf>
    <dxf>
      <font>
        <color theme="0"/>
      </font>
      <fill>
        <patternFill patternType="none">
          <bgColor auto="1"/>
        </patternFill>
      </fill>
    </dxf>
    <dxf>
      <numFmt numFmtId="175" formatCode="&quot; up to &quot;0.00&quot;X EM to LP&quot;"/>
    </dxf>
    <dxf>
      <font>
        <color theme="0"/>
      </font>
      <numFmt numFmtId="0" formatCode="General"/>
      <fill>
        <patternFill patternType="none">
          <bgColor auto="1"/>
        </patternFill>
      </fill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89647</xdr:colOff>
      <xdr:row>35</xdr:row>
      <xdr:rowOff>11206</xdr:rowOff>
    </xdr:from>
    <xdr:to>
      <xdr:col>27</xdr:col>
      <xdr:colOff>493059</xdr:colOff>
      <xdr:row>40</xdr:row>
      <xdr:rowOff>78442</xdr:rowOff>
    </xdr:to>
    <xdr:sp macro="" textlink="">
      <xdr:nvSpPr>
        <xdr:cNvPr id="2" name="TextBox 1"/>
        <xdr:cNvSpPr txBox="1"/>
      </xdr:nvSpPr>
      <xdr:spPr>
        <a:xfrm>
          <a:off x="18476259" y="5676900"/>
          <a:ext cx="4168588" cy="80234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&lt;---- Bring in your equity</a:t>
          </a:r>
          <a:r>
            <a:rPr lang="en-US" sz="1100" b="1" baseline="0"/>
            <a:t> cashflow here (Before tax cash flow, but after debt service.)</a:t>
          </a:r>
          <a:endParaRPr lang="en-US" sz="1100" baseline="0"/>
        </a:p>
        <a:p>
          <a:endParaRPr lang="en-US" sz="1100"/>
        </a:p>
      </xdr:txBody>
    </xdr:sp>
    <xdr:clientData/>
  </xdr:twoCellAnchor>
  <xdr:twoCellAnchor>
    <xdr:from>
      <xdr:col>4</xdr:col>
      <xdr:colOff>156883</xdr:colOff>
      <xdr:row>7</xdr:row>
      <xdr:rowOff>1</xdr:rowOff>
    </xdr:from>
    <xdr:to>
      <xdr:col>9</xdr:col>
      <xdr:colOff>1680</xdr:colOff>
      <xdr:row>9</xdr:row>
      <xdr:rowOff>179294</xdr:rowOff>
    </xdr:to>
    <xdr:sp macro="" textlink="">
      <xdr:nvSpPr>
        <xdr:cNvPr id="3" name="TextBox 2"/>
        <xdr:cNvSpPr txBox="1"/>
      </xdr:nvSpPr>
      <xdr:spPr>
        <a:xfrm>
          <a:off x="4325471" y="1030942"/>
          <a:ext cx="3990974" cy="5714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&lt;---- Bring in equity contribution, by partner,</a:t>
          </a:r>
          <a:r>
            <a:rPr lang="en-US" sz="1100" b="1" baseline="0"/>
            <a:t> here.</a:t>
          </a:r>
          <a:endParaRPr lang="en-US" sz="1100" baseline="0"/>
        </a:p>
        <a:p>
          <a:endParaRPr lang="en-US" sz="1100"/>
        </a:p>
      </xdr:txBody>
    </xdr:sp>
    <xdr:clientData/>
  </xdr:twoCellAnchor>
  <xdr:twoCellAnchor>
    <xdr:from>
      <xdr:col>14</xdr:col>
      <xdr:colOff>280147</xdr:colOff>
      <xdr:row>12</xdr:row>
      <xdr:rowOff>179292</xdr:rowOff>
    </xdr:from>
    <xdr:to>
      <xdr:col>20</xdr:col>
      <xdr:colOff>649941</xdr:colOff>
      <xdr:row>17</xdr:row>
      <xdr:rowOff>53226</xdr:rowOff>
    </xdr:to>
    <xdr:sp macro="" textlink="">
      <xdr:nvSpPr>
        <xdr:cNvPr id="4" name="TextBox 3"/>
        <xdr:cNvSpPr txBox="1"/>
      </xdr:nvSpPr>
      <xdr:spPr>
        <a:xfrm>
          <a:off x="12147176" y="2039468"/>
          <a:ext cx="4807324" cy="8376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&lt;---- Input</a:t>
          </a:r>
          <a:r>
            <a:rPr lang="en-US" sz="1100" b="1" baseline="0"/>
            <a:t> promote structure here.</a:t>
          </a:r>
        </a:p>
        <a:p>
          <a:endParaRPr lang="en-US" sz="1100"/>
        </a:p>
      </xdr:txBody>
    </xdr:sp>
    <xdr:clientData/>
  </xdr:twoCellAnchor>
  <xdr:twoCellAnchor>
    <xdr:from>
      <xdr:col>4</xdr:col>
      <xdr:colOff>22411</xdr:colOff>
      <xdr:row>20</xdr:row>
      <xdr:rowOff>33618</xdr:rowOff>
    </xdr:from>
    <xdr:to>
      <xdr:col>5</xdr:col>
      <xdr:colOff>0</xdr:colOff>
      <xdr:row>32</xdr:row>
      <xdr:rowOff>179294</xdr:rowOff>
    </xdr:to>
    <xdr:sp macro="" textlink="">
      <xdr:nvSpPr>
        <xdr:cNvPr id="5" name="TextBox 4"/>
        <xdr:cNvSpPr txBox="1"/>
      </xdr:nvSpPr>
      <xdr:spPr>
        <a:xfrm>
          <a:off x="3025587" y="2935942"/>
          <a:ext cx="1344707" cy="24316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&lt;---- Return results based</a:t>
          </a:r>
          <a:r>
            <a:rPr lang="en-US" sz="1100" b="1" baseline="0"/>
            <a:t> on assumed promote structure, equity contribution split, and equity cashflow stream.</a:t>
          </a:r>
        </a:p>
        <a:p>
          <a:r>
            <a:rPr lang="en-US" sz="1100" b="1" baseline="0"/>
            <a:t>&lt;----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&lt;----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&lt;----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&lt;----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&lt;----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&lt;----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&lt;----</a:t>
          </a:r>
          <a:endParaRPr lang="en-US" sz="1100" b="1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Y97"/>
  <sheetViews>
    <sheetView showGridLines="0" tabSelected="1" zoomScale="85" zoomScaleNormal="85" zoomScaleSheetLayoutView="85" workbookViewId="0"/>
  </sheetViews>
  <sheetFormatPr defaultColWidth="9.140625" defaultRowHeight="15" x14ac:dyDescent="0.25"/>
  <cols>
    <col min="1" max="1" width="1.140625" style="1" customWidth="1"/>
    <col min="2" max="2" width="29.7109375" style="1" customWidth="1"/>
    <col min="3" max="3" width="15.42578125" style="1" customWidth="1"/>
    <col min="4" max="4" width="16.140625" style="1" bestFit="1" customWidth="1"/>
    <col min="5" max="5" width="20.42578125" style="1" customWidth="1"/>
    <col min="6" max="6" width="10.85546875" style="2" bestFit="1" customWidth="1"/>
    <col min="7" max="10" width="10.28515625" style="2" bestFit="1" customWidth="1"/>
    <col min="11" max="11" width="10.5703125" style="2" bestFit="1" customWidth="1"/>
    <col min="12" max="16" width="10.28515625" style="2" bestFit="1" customWidth="1"/>
    <col min="17" max="21" width="10.28515625" style="1" bestFit="1" customWidth="1"/>
    <col min="22" max="16384" width="9.140625" style="1"/>
  </cols>
  <sheetData>
    <row r="1" spans="2:21" ht="6.75" customHeight="1" thickBot="1" x14ac:dyDescent="0.3"/>
    <row r="2" spans="2:21" ht="16.5" thickTop="1" x14ac:dyDescent="0.25">
      <c r="B2" s="10" t="s">
        <v>64</v>
      </c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3"/>
    </row>
    <row r="3" spans="2:21" ht="5.0999999999999996" customHeight="1" x14ac:dyDescent="0.25">
      <c r="B3" s="44"/>
      <c r="C3" s="40"/>
      <c r="D3" s="40"/>
      <c r="E3" s="4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1"/>
    </row>
    <row r="4" spans="2:21" ht="15.75" x14ac:dyDescent="0.25">
      <c r="B4" s="44" t="s">
        <v>40</v>
      </c>
      <c r="C4" s="40"/>
      <c r="D4" s="46" t="s">
        <v>41</v>
      </c>
      <c r="E4" s="40">
        <f>IF(D4="Equity Multiple",0,1)</f>
        <v>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1"/>
    </row>
    <row r="5" spans="2:21" ht="15.75" x14ac:dyDescent="0.25">
      <c r="B5" s="44" t="s">
        <v>42</v>
      </c>
      <c r="C5" s="40"/>
      <c r="D5" s="81" t="s">
        <v>58</v>
      </c>
      <c r="E5" s="4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1"/>
    </row>
    <row r="6" spans="2:21" ht="5.0999999999999996" customHeight="1" x14ac:dyDescent="0.25">
      <c r="B6" s="14"/>
      <c r="C6" s="15"/>
      <c r="D6" s="37"/>
      <c r="E6" s="15"/>
      <c r="F6" s="16"/>
      <c r="G6" s="16"/>
      <c r="H6" s="16"/>
      <c r="I6" s="16"/>
      <c r="J6" s="16"/>
      <c r="K6" s="16"/>
      <c r="L6" s="16"/>
      <c r="M6" s="4"/>
      <c r="N6" s="16"/>
      <c r="O6" s="16"/>
      <c r="P6" s="16"/>
      <c r="Q6" s="15"/>
      <c r="R6" s="15"/>
      <c r="S6" s="15"/>
      <c r="T6" s="15"/>
      <c r="U6" s="17"/>
    </row>
    <row r="7" spans="2:21" ht="16.5" thickBot="1" x14ac:dyDescent="0.3">
      <c r="B7" s="18" t="s">
        <v>36</v>
      </c>
      <c r="C7" s="47" t="s">
        <v>35</v>
      </c>
      <c r="D7" s="47" t="s">
        <v>34</v>
      </c>
      <c r="E7" s="15"/>
      <c r="F7" s="19"/>
      <c r="G7" s="16"/>
      <c r="H7" s="16"/>
      <c r="I7" s="16"/>
      <c r="J7" s="16"/>
      <c r="K7" s="16"/>
      <c r="L7" s="16"/>
      <c r="M7" s="4"/>
      <c r="N7" s="16"/>
      <c r="O7" s="16"/>
      <c r="P7" s="16"/>
      <c r="Q7" s="15"/>
      <c r="R7" s="15"/>
      <c r="S7" s="15"/>
      <c r="T7" s="15"/>
      <c r="U7" s="17"/>
    </row>
    <row r="8" spans="2:21" x14ac:dyDescent="0.25">
      <c r="B8" s="14" t="s">
        <v>33</v>
      </c>
      <c r="C8" s="73">
        <v>0.1</v>
      </c>
      <c r="D8" s="48">
        <f>Equity_Share_Sponsor*Total_Equity</f>
        <v>1202508.26068211</v>
      </c>
      <c r="E8" s="15"/>
      <c r="F8" s="20"/>
      <c r="G8" s="21"/>
      <c r="H8" s="16"/>
      <c r="I8" s="16"/>
      <c r="J8" s="16"/>
      <c r="K8" s="82" t="s">
        <v>45</v>
      </c>
      <c r="L8" s="84" t="str">
        <f>IF(L10=L9,"OK","Error")</f>
        <v>OK</v>
      </c>
      <c r="M8" s="16"/>
      <c r="N8" s="16"/>
      <c r="O8" s="16"/>
      <c r="P8" s="16"/>
      <c r="Q8" s="15"/>
      <c r="R8" s="15"/>
      <c r="S8" s="15"/>
      <c r="T8" s="15"/>
      <c r="U8" s="17"/>
    </row>
    <row r="9" spans="2:21" x14ac:dyDescent="0.25">
      <c r="B9" s="14" t="s">
        <v>32</v>
      </c>
      <c r="C9" s="51">
        <f>1-C8</f>
        <v>0.9</v>
      </c>
      <c r="D9" s="48">
        <f>Total_Equity*Equity_Share_LP</f>
        <v>10822574.34613899</v>
      </c>
      <c r="E9" s="15"/>
      <c r="F9" s="20"/>
      <c r="G9" s="21"/>
      <c r="H9" s="16"/>
      <c r="I9" s="16"/>
      <c r="J9" s="16"/>
      <c r="K9" s="5" t="s">
        <v>46</v>
      </c>
      <c r="L9" s="85">
        <f>(D23+D30)/1000000</f>
        <v>62.268806230983969</v>
      </c>
      <c r="M9" s="16"/>
      <c r="N9" s="16"/>
      <c r="O9" s="16"/>
      <c r="P9" s="16"/>
      <c r="Q9" s="15"/>
      <c r="R9" s="15"/>
      <c r="S9" s="15"/>
      <c r="T9" s="15"/>
      <c r="U9" s="17"/>
    </row>
    <row r="10" spans="2:21" ht="15.75" thickBot="1" x14ac:dyDescent="0.3">
      <c r="B10" s="14" t="s">
        <v>38</v>
      </c>
      <c r="C10" s="22"/>
      <c r="D10" s="48">
        <f>-SUMIF(F36:U36,"&lt;0")</f>
        <v>12025082.606821099</v>
      </c>
      <c r="E10" s="15"/>
      <c r="F10" s="20"/>
      <c r="G10" s="21"/>
      <c r="H10" s="16"/>
      <c r="I10" s="16"/>
      <c r="J10" s="16"/>
      <c r="K10" s="83" t="s">
        <v>47</v>
      </c>
      <c r="L10" s="86">
        <f>SUM(F36:U36)/1000000</f>
        <v>62.268806230983991</v>
      </c>
      <c r="M10" s="16"/>
      <c r="N10" s="16"/>
      <c r="O10" s="16"/>
      <c r="P10" s="16"/>
      <c r="Q10" s="15"/>
      <c r="R10" s="15"/>
      <c r="S10" s="15"/>
      <c r="T10" s="15"/>
      <c r="U10" s="17"/>
    </row>
    <row r="11" spans="2:21" ht="5.0999999999999996" customHeight="1" x14ac:dyDescent="0.25">
      <c r="B11" s="14"/>
      <c r="C11" s="22"/>
      <c r="D11" s="48"/>
      <c r="E11" s="15"/>
      <c r="F11" s="20"/>
      <c r="G11" s="21"/>
      <c r="H11" s="16"/>
      <c r="I11" s="16"/>
      <c r="J11" s="16"/>
      <c r="K11" s="16"/>
      <c r="L11" s="16"/>
      <c r="M11" s="16"/>
      <c r="N11" s="16"/>
      <c r="O11" s="16"/>
      <c r="P11" s="16"/>
      <c r="Q11" s="15"/>
      <c r="R11" s="15"/>
      <c r="S11" s="15"/>
      <c r="T11" s="15"/>
      <c r="U11" s="17"/>
    </row>
    <row r="12" spans="2:21" x14ac:dyDescent="0.25">
      <c r="B12" s="14"/>
      <c r="C12" s="15"/>
      <c r="D12" s="37"/>
      <c r="E12" s="15"/>
      <c r="F12" s="99" t="s">
        <v>61</v>
      </c>
      <c r="G12" s="100"/>
      <c r="H12" s="98" t="s">
        <v>60</v>
      </c>
      <c r="I12" s="98"/>
      <c r="J12" s="91"/>
      <c r="K12" s="16"/>
      <c r="L12" s="16"/>
      <c r="M12" s="16"/>
      <c r="N12" s="16"/>
      <c r="O12" s="16"/>
      <c r="P12" s="16"/>
      <c r="Q12" s="15"/>
      <c r="R12" s="15"/>
      <c r="S12" s="15"/>
      <c r="T12" s="15"/>
      <c r="U12" s="17"/>
    </row>
    <row r="13" spans="2:21" ht="15.75" x14ac:dyDescent="0.25">
      <c r="B13" s="18" t="str">
        <f>IF(D4="Equity Multiple","Promote Structure (Equity Multiple Hurdles)","Promote Structure (IRR Hurdles)")</f>
        <v>Promote Structure (IRR Hurdles)</v>
      </c>
      <c r="C13" s="6"/>
      <c r="D13" s="49"/>
      <c r="E13" s="6"/>
      <c r="F13" s="101"/>
      <c r="G13" s="102"/>
      <c r="H13" s="47" t="s">
        <v>31</v>
      </c>
      <c r="I13" s="52" t="s">
        <v>30</v>
      </c>
      <c r="J13" s="92" t="s">
        <v>63</v>
      </c>
      <c r="K13" s="9"/>
      <c r="L13" s="9"/>
      <c r="M13" s="9"/>
      <c r="N13" s="9"/>
      <c r="O13" s="16"/>
      <c r="P13" s="16"/>
      <c r="Q13" s="15"/>
      <c r="R13" s="15"/>
      <c r="S13" s="15"/>
      <c r="T13" s="15"/>
      <c r="U13" s="17"/>
    </row>
    <row r="14" spans="2:21" x14ac:dyDescent="0.25">
      <c r="B14" s="14" t="s">
        <v>29</v>
      </c>
      <c r="C14" s="45" t="s">
        <v>39</v>
      </c>
      <c r="D14" s="50" t="s">
        <v>62</v>
      </c>
      <c r="E14" s="23">
        <f>IF($D$4="Equity Multiple",C15,D15)</f>
        <v>0.08</v>
      </c>
      <c r="F14" s="93" t="s">
        <v>33</v>
      </c>
      <c r="G14" s="94" t="s">
        <v>59</v>
      </c>
      <c r="H14" s="90">
        <f>Equity_Share_Sponsor</f>
        <v>0.1</v>
      </c>
      <c r="I14" s="22">
        <f>1-H14</f>
        <v>0.9</v>
      </c>
      <c r="J14" s="103" t="str">
        <f>IF(I14=Equity_Share_LP,"Pro rata return of capital, then Pref prorata to LP/Sponsor","Return of capital and Pref NOT pro rata")</f>
        <v>Pro rata return of capital, then Pref prorata to LP/Sponsor</v>
      </c>
      <c r="K14" s="104"/>
      <c r="L14" s="104"/>
      <c r="M14" s="104"/>
      <c r="N14" s="104"/>
      <c r="O14" s="16"/>
      <c r="P14" s="16"/>
      <c r="Q14" s="15"/>
      <c r="R14" s="15"/>
      <c r="S14" s="15"/>
      <c r="T14" s="15"/>
      <c r="U14" s="17"/>
    </row>
    <row r="15" spans="2:21" x14ac:dyDescent="0.25">
      <c r="B15" s="14" t="s">
        <v>10</v>
      </c>
      <c r="C15" s="78">
        <v>2</v>
      </c>
      <c r="D15" s="74">
        <v>0.08</v>
      </c>
      <c r="E15" s="27">
        <f t="shared" ref="E15:E16" si="0">IF($D$4="Equity Multiple",C16,D16)</f>
        <v>0.12</v>
      </c>
      <c r="F15" s="90">
        <v>0.2</v>
      </c>
      <c r="G15" s="89">
        <f>1-F15</f>
        <v>0.8</v>
      </c>
      <c r="H15" s="95">
        <f>1-(Equity_Share_LP*G15)</f>
        <v>0.27999999999999992</v>
      </c>
      <c r="I15" s="22">
        <f t="shared" ref="I15:I17" si="1">1-H15</f>
        <v>0.72000000000000008</v>
      </c>
      <c r="J15" s="96" t="str">
        <f>IF(Equity_Share_Sponsor&lt;&gt;H14,TEXT(I14,"0.0%")&amp;"/"&amp;TEXT(H14,"0.0%")&amp;" to "&amp;(IF(D4="IRR",TEXT(E14,"0.0%"),TEXT(E14,"0.0X")))&amp;", then "&amp;TEXT(G15,"0.0%")&amp;"/"&amp;TEXT(F15,"0.0%")&amp;" to "&amp;(IF(D4="IRR",TEXT(E15,"0.0%"),TEXT(E15,"0.0X"))),"Prorata to LP/Sponsor to "&amp;(IF(D4="IRR",TEXT(E14,"0.0%"),TEXT(E14,"0.0X")))&amp;", then "&amp;TEXT(G15,"0.0%")&amp;"/"&amp;TEXT(F15,"0.0%")&amp;" to "&amp;(IF(D4="IRR",TEXT(E15,"0.0%"),TEXT(E15,"0.0X"))))</f>
        <v>Prorata to LP/Sponsor to 8.0%, then 80.0%/20.0% to 12.0%</v>
      </c>
      <c r="K15" s="97"/>
      <c r="L15" s="97"/>
      <c r="M15" s="97"/>
      <c r="N15" s="97"/>
      <c r="O15" s="16"/>
      <c r="P15" s="16"/>
      <c r="Q15" s="15"/>
      <c r="R15" s="15"/>
      <c r="S15" s="15"/>
      <c r="T15" s="15"/>
      <c r="U15" s="17"/>
    </row>
    <row r="16" spans="2:21" x14ac:dyDescent="0.25">
      <c r="B16" s="14" t="s">
        <v>9</v>
      </c>
      <c r="C16" s="78">
        <v>2.5</v>
      </c>
      <c r="D16" s="74">
        <v>0.12</v>
      </c>
      <c r="E16" s="27">
        <f t="shared" si="0"/>
        <v>0.15</v>
      </c>
      <c r="F16" s="90">
        <v>0.3</v>
      </c>
      <c r="G16" s="89">
        <f t="shared" ref="G16:G17" si="2">1-F16</f>
        <v>0.7</v>
      </c>
      <c r="H16" s="95">
        <f>1-(Equity_Share_LP*G16)</f>
        <v>0.37</v>
      </c>
      <c r="I16" s="22">
        <f t="shared" si="1"/>
        <v>0.63</v>
      </c>
      <c r="J16" s="96" t="str">
        <f>TEXT(G15,"0.0%")&amp;"/"&amp;TEXT(F15,"0.0%")&amp;" to "&amp;(IF(D4="IRR",TEXT(E15,"0.0%"),TEXT(E15,"0.0X")))&amp;", then "&amp;TEXT(G16,"0.0%")&amp;"/"&amp;TEXT(F16,"0.0%")&amp;" to "&amp;(IF(D4="IRR",TEXT(E16,"0.0%"),TEXT(E16,"0.0X")))</f>
        <v>80.0%/20.0% to 12.0%, then 70.0%/30.0% to 15.0%</v>
      </c>
      <c r="K16" s="97"/>
      <c r="L16" s="97"/>
      <c r="M16" s="97"/>
      <c r="N16" s="97"/>
      <c r="O16" s="16"/>
      <c r="P16" s="16"/>
      <c r="Q16" s="15"/>
      <c r="R16" s="15"/>
      <c r="S16" s="15"/>
      <c r="T16" s="15"/>
      <c r="U16" s="17"/>
    </row>
    <row r="17" spans="2:21" x14ac:dyDescent="0.25">
      <c r="B17" s="14" t="s">
        <v>3</v>
      </c>
      <c r="C17" s="78">
        <v>3</v>
      </c>
      <c r="D17" s="74">
        <v>0.15</v>
      </c>
      <c r="E17" s="27"/>
      <c r="F17" s="90">
        <v>0.4</v>
      </c>
      <c r="G17" s="89">
        <f t="shared" si="2"/>
        <v>0.6</v>
      </c>
      <c r="H17" s="95">
        <f>1-(Equity_Share_LP*G17)</f>
        <v>0.45999999999999996</v>
      </c>
      <c r="I17" s="22">
        <f t="shared" si="1"/>
        <v>0.54</v>
      </c>
      <c r="J17" s="96" t="str">
        <f>TEXT(G16,"0.0%")&amp;"/"&amp;TEXT(F16,"0.0%")&amp;" to "&amp;(IF(D4="IRR",TEXT(E16,"0.0%"),TEXT(E16,"0.0X")))&amp;", then "&amp;TEXT(G17,"0.0%")&amp;"/"&amp;TEXT(F17,"0.0%")&amp;" thereafter"</f>
        <v>70.0%/30.0% to 15.0%, then 60.0%/40.0% thereafter</v>
      </c>
      <c r="K17" s="97"/>
      <c r="L17" s="97"/>
      <c r="M17" s="97"/>
      <c r="N17" s="97"/>
      <c r="O17" s="16"/>
      <c r="P17" s="16"/>
      <c r="Q17" s="15"/>
      <c r="R17" s="15"/>
      <c r="S17" s="15"/>
      <c r="T17" s="15"/>
      <c r="U17" s="17"/>
    </row>
    <row r="18" spans="2:21" ht="5.0999999999999996" customHeight="1" x14ac:dyDescent="0.25">
      <c r="B18" s="14"/>
      <c r="C18" s="15"/>
      <c r="D18" s="26"/>
      <c r="E18" s="27"/>
      <c r="F18" s="21"/>
      <c r="G18" s="24"/>
      <c r="H18" s="25"/>
      <c r="I18" s="25"/>
      <c r="J18" s="16"/>
      <c r="K18" s="16"/>
      <c r="L18" s="16"/>
      <c r="M18" s="16"/>
      <c r="N18" s="16"/>
      <c r="O18" s="16"/>
      <c r="P18" s="16"/>
      <c r="Q18" s="15"/>
      <c r="R18" s="15"/>
      <c r="S18" s="15"/>
      <c r="T18" s="15"/>
      <c r="U18" s="17"/>
    </row>
    <row r="19" spans="2:21" ht="15.75" x14ac:dyDescent="0.25">
      <c r="B19" s="18" t="s">
        <v>28</v>
      </c>
      <c r="C19" s="6"/>
      <c r="D19" s="7"/>
      <c r="E19" s="8"/>
      <c r="F19" s="49" t="s">
        <v>14</v>
      </c>
      <c r="G19" s="53">
        <v>1</v>
      </c>
      <c r="H19" s="53">
        <f>IF(H36="","",G19+1)</f>
        <v>2</v>
      </c>
      <c r="I19" s="53">
        <f t="shared" ref="I19:U19" si="3">IF(I36="","",H19+1)</f>
        <v>3</v>
      </c>
      <c r="J19" s="53">
        <f t="shared" si="3"/>
        <v>4</v>
      </c>
      <c r="K19" s="53">
        <f t="shared" si="3"/>
        <v>5</v>
      </c>
      <c r="L19" s="53">
        <f t="shared" si="3"/>
        <v>6</v>
      </c>
      <c r="M19" s="53">
        <f t="shared" si="3"/>
        <v>7</v>
      </c>
      <c r="N19" s="53">
        <f t="shared" si="3"/>
        <v>8</v>
      </c>
      <c r="O19" s="53">
        <f t="shared" si="3"/>
        <v>9</v>
      </c>
      <c r="P19" s="53">
        <f t="shared" si="3"/>
        <v>10</v>
      </c>
      <c r="Q19" s="53">
        <f t="shared" si="3"/>
        <v>11</v>
      </c>
      <c r="R19" s="53">
        <f t="shared" si="3"/>
        <v>12</v>
      </c>
      <c r="S19" s="53">
        <f t="shared" si="3"/>
        <v>13</v>
      </c>
      <c r="T19" s="53">
        <f t="shared" si="3"/>
        <v>14</v>
      </c>
      <c r="U19" s="54">
        <f t="shared" si="3"/>
        <v>15</v>
      </c>
    </row>
    <row r="20" spans="2:21" x14ac:dyDescent="0.25">
      <c r="B20" s="28" t="s">
        <v>27</v>
      </c>
      <c r="C20" s="15"/>
      <c r="D20" s="26"/>
      <c r="E20" s="27"/>
      <c r="F20" s="55"/>
      <c r="G20" s="56"/>
      <c r="H20" s="57"/>
      <c r="I20" s="5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58"/>
    </row>
    <row r="21" spans="2:21" x14ac:dyDescent="0.25">
      <c r="B21" s="29" t="s">
        <v>26</v>
      </c>
      <c r="C21" s="15"/>
      <c r="D21" s="30">
        <f>SUM(F21:U21)</f>
        <v>54914447.855841398</v>
      </c>
      <c r="E21" s="27"/>
      <c r="F21" s="59">
        <f t="shared" ref="F21:U21" si="4">IF(F19="","",F49+F71+F86+F93)</f>
        <v>0</v>
      </c>
      <c r="G21" s="59">
        <f t="shared" si="4"/>
        <v>1089081.0639216003</v>
      </c>
      <c r="H21" s="59">
        <f t="shared" si="4"/>
        <v>1132278.0052000326</v>
      </c>
      <c r="I21" s="59">
        <f t="shared" si="4"/>
        <v>869925.929304032</v>
      </c>
      <c r="J21" s="59">
        <f t="shared" si="4"/>
        <v>914868.02701011277</v>
      </c>
      <c r="K21" s="59">
        <f t="shared" si="4"/>
        <v>960708.96667031536</v>
      </c>
      <c r="L21" s="59">
        <f t="shared" si="4"/>
        <v>1007466.7251237215</v>
      </c>
      <c r="M21" s="59">
        <f t="shared" si="4"/>
        <v>1055159.6387461962</v>
      </c>
      <c r="N21" s="59">
        <f t="shared" si="4"/>
        <v>1103806.4106411191</v>
      </c>
      <c r="O21" s="59">
        <f t="shared" si="4"/>
        <v>1153426.1179739421</v>
      </c>
      <c r="P21" s="59">
        <f t="shared" si="4"/>
        <v>1204038.2194534212</v>
      </c>
      <c r="Q21" s="59">
        <f t="shared" si="4"/>
        <v>1255662.5629624894</v>
      </c>
      <c r="R21" s="59">
        <f t="shared" si="4"/>
        <v>1308319.393341739</v>
      </c>
      <c r="S21" s="59">
        <f t="shared" si="4"/>
        <v>1362029.360328574</v>
      </c>
      <c r="T21" s="59">
        <f t="shared" si="4"/>
        <v>1416813.5266551452</v>
      </c>
      <c r="U21" s="60">
        <f t="shared" si="4"/>
        <v>39080863.908508964</v>
      </c>
    </row>
    <row r="22" spans="2:21" x14ac:dyDescent="0.25">
      <c r="B22" s="29" t="s">
        <v>25</v>
      </c>
      <c r="C22" s="15"/>
      <c r="D22" s="30">
        <f>SUM(F22:U22)</f>
        <v>10822574.34613899</v>
      </c>
      <c r="E22" s="27"/>
      <c r="F22" s="59">
        <f t="shared" ref="F22:U22" si="5">F45</f>
        <v>10822574.34613899</v>
      </c>
      <c r="G22" s="59">
        <f t="shared" si="5"/>
        <v>0</v>
      </c>
      <c r="H22" s="59">
        <f t="shared" si="5"/>
        <v>0</v>
      </c>
      <c r="I22" s="59">
        <f t="shared" si="5"/>
        <v>0</v>
      </c>
      <c r="J22" s="59">
        <f t="shared" si="5"/>
        <v>0</v>
      </c>
      <c r="K22" s="59">
        <f t="shared" si="5"/>
        <v>0</v>
      </c>
      <c r="L22" s="59">
        <f t="shared" si="5"/>
        <v>0</v>
      </c>
      <c r="M22" s="59">
        <f t="shared" si="5"/>
        <v>0</v>
      </c>
      <c r="N22" s="59">
        <f t="shared" si="5"/>
        <v>0</v>
      </c>
      <c r="O22" s="59">
        <f t="shared" si="5"/>
        <v>0</v>
      </c>
      <c r="P22" s="59">
        <f t="shared" si="5"/>
        <v>0</v>
      </c>
      <c r="Q22" s="59">
        <f t="shared" si="5"/>
        <v>0</v>
      </c>
      <c r="R22" s="59">
        <f t="shared" si="5"/>
        <v>0</v>
      </c>
      <c r="S22" s="59">
        <f t="shared" si="5"/>
        <v>0</v>
      </c>
      <c r="T22" s="59">
        <f t="shared" si="5"/>
        <v>0</v>
      </c>
      <c r="U22" s="60">
        <f t="shared" si="5"/>
        <v>0</v>
      </c>
    </row>
    <row r="23" spans="2:21" x14ac:dyDescent="0.25">
      <c r="B23" s="29" t="s">
        <v>24</v>
      </c>
      <c r="C23" s="15"/>
      <c r="D23" s="30">
        <f>D21-D22</f>
        <v>44091873.509702407</v>
      </c>
      <c r="E23" s="27"/>
      <c r="F23" s="55"/>
      <c r="G23" s="56"/>
      <c r="H23" s="57"/>
      <c r="I23" s="5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58"/>
    </row>
    <row r="24" spans="2:21" x14ac:dyDescent="0.25">
      <c r="B24" s="29" t="s">
        <v>23</v>
      </c>
      <c r="C24" s="15"/>
      <c r="D24" s="31">
        <f>IRR(F24:U24)</f>
        <v>0.15120242250944971</v>
      </c>
      <c r="E24" s="27"/>
      <c r="F24" s="59">
        <f t="shared" ref="F24:U24" si="6">IF(F19="","",(-F22)+F21)</f>
        <v>-10822574.34613899</v>
      </c>
      <c r="G24" s="59">
        <f t="shared" si="6"/>
        <v>1089081.0639216003</v>
      </c>
      <c r="H24" s="59">
        <f t="shared" si="6"/>
        <v>1132278.0052000326</v>
      </c>
      <c r="I24" s="59">
        <f t="shared" si="6"/>
        <v>869925.929304032</v>
      </c>
      <c r="J24" s="59">
        <f t="shared" si="6"/>
        <v>914868.02701011277</v>
      </c>
      <c r="K24" s="59">
        <f t="shared" si="6"/>
        <v>960708.96667031536</v>
      </c>
      <c r="L24" s="59">
        <f t="shared" si="6"/>
        <v>1007466.7251237215</v>
      </c>
      <c r="M24" s="59">
        <f t="shared" si="6"/>
        <v>1055159.6387461962</v>
      </c>
      <c r="N24" s="59">
        <f t="shared" si="6"/>
        <v>1103806.4106411191</v>
      </c>
      <c r="O24" s="59">
        <f t="shared" si="6"/>
        <v>1153426.1179739421</v>
      </c>
      <c r="P24" s="59">
        <f t="shared" si="6"/>
        <v>1204038.2194534212</v>
      </c>
      <c r="Q24" s="59">
        <f t="shared" si="6"/>
        <v>1255662.5629624894</v>
      </c>
      <c r="R24" s="59">
        <f t="shared" si="6"/>
        <v>1308319.393341739</v>
      </c>
      <c r="S24" s="59">
        <f t="shared" si="6"/>
        <v>1362029.360328574</v>
      </c>
      <c r="T24" s="59">
        <f t="shared" si="6"/>
        <v>1416813.5266551452</v>
      </c>
      <c r="U24" s="60">
        <f t="shared" si="6"/>
        <v>39080863.908508964</v>
      </c>
    </row>
    <row r="25" spans="2:21" x14ac:dyDescent="0.25">
      <c r="B25" s="29" t="s">
        <v>22</v>
      </c>
      <c r="C25" s="15"/>
      <c r="D25" s="32">
        <f>D21/D22</f>
        <v>5.0740651992316801</v>
      </c>
      <c r="E25" s="27"/>
      <c r="F25" s="55"/>
      <c r="G25" s="56"/>
      <c r="H25" s="57"/>
      <c r="I25" s="5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58"/>
    </row>
    <row r="26" spans="2:21" ht="5.0999999999999996" customHeight="1" x14ac:dyDescent="0.25">
      <c r="B26" s="29"/>
      <c r="C26" s="15"/>
      <c r="D26" s="26"/>
      <c r="E26" s="27"/>
      <c r="F26" s="55"/>
      <c r="G26" s="56"/>
      <c r="H26" s="57"/>
      <c r="I26" s="5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58"/>
    </row>
    <row r="27" spans="2:21" x14ac:dyDescent="0.25">
      <c r="B27" s="28" t="s">
        <v>21</v>
      </c>
      <c r="C27" s="15"/>
      <c r="D27" s="26"/>
      <c r="E27" s="27"/>
      <c r="F27" s="55"/>
      <c r="G27" s="56"/>
      <c r="H27" s="57"/>
      <c r="I27" s="5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58"/>
    </row>
    <row r="28" spans="2:21" x14ac:dyDescent="0.25">
      <c r="B28" s="29" t="s">
        <v>20</v>
      </c>
      <c r="C28" s="15"/>
      <c r="D28" s="30">
        <f>SUM(F28:U28)</f>
        <v>19379440.981963675</v>
      </c>
      <c r="E28" s="27"/>
      <c r="F28" s="59">
        <f t="shared" ref="F28:U28" si="7">IF(F19="","",F55+F72+F87+F94)</f>
        <v>0</v>
      </c>
      <c r="G28" s="59">
        <f t="shared" si="7"/>
        <v>121009.00710240005</v>
      </c>
      <c r="H28" s="59">
        <f t="shared" si="7"/>
        <v>125808.66724444808</v>
      </c>
      <c r="I28" s="59">
        <f t="shared" si="7"/>
        <v>96658.436589336896</v>
      </c>
      <c r="J28" s="59">
        <f t="shared" si="7"/>
        <v>101652.00300112365</v>
      </c>
      <c r="K28" s="59">
        <f t="shared" si="7"/>
        <v>106745.44074114616</v>
      </c>
      <c r="L28" s="59">
        <f t="shared" si="7"/>
        <v>111940.74723596906</v>
      </c>
      <c r="M28" s="59">
        <f t="shared" si="7"/>
        <v>117239.95986068848</v>
      </c>
      <c r="N28" s="59">
        <f t="shared" si="7"/>
        <v>122645.15673790214</v>
      </c>
      <c r="O28" s="59">
        <f t="shared" si="7"/>
        <v>128158.45755266024</v>
      </c>
      <c r="P28" s="59">
        <f t="shared" si="7"/>
        <v>133782.02438371346</v>
      </c>
      <c r="Q28" s="59">
        <f t="shared" si="7"/>
        <v>139518.0625513877</v>
      </c>
      <c r="R28" s="59">
        <f t="shared" si="7"/>
        <v>145368.82148241543</v>
      </c>
      <c r="S28" s="59">
        <f t="shared" si="7"/>
        <v>151336.59559206379</v>
      </c>
      <c r="T28" s="59">
        <f t="shared" si="7"/>
        <v>157423.72518390502</v>
      </c>
      <c r="U28" s="60">
        <f t="shared" si="7"/>
        <v>17620153.876704514</v>
      </c>
    </row>
    <row r="29" spans="2:21" x14ac:dyDescent="0.25">
      <c r="B29" s="29" t="s">
        <v>19</v>
      </c>
      <c r="C29" s="15"/>
      <c r="D29" s="30">
        <f>SUM(F29:U29)</f>
        <v>1202508.2606821097</v>
      </c>
      <c r="E29" s="27"/>
      <c r="F29" s="59">
        <f t="shared" ref="F29:U29" si="8">IF(F19="","",-(MIN(F36,0)+F45))</f>
        <v>1202508.2606821097</v>
      </c>
      <c r="G29" s="59">
        <f t="shared" si="8"/>
        <v>0</v>
      </c>
      <c r="H29" s="59">
        <f t="shared" si="8"/>
        <v>0</v>
      </c>
      <c r="I29" s="59">
        <f t="shared" si="8"/>
        <v>0</v>
      </c>
      <c r="J29" s="59">
        <f t="shared" si="8"/>
        <v>0</v>
      </c>
      <c r="K29" s="59">
        <f t="shared" si="8"/>
        <v>0</v>
      </c>
      <c r="L29" s="59">
        <f t="shared" si="8"/>
        <v>0</v>
      </c>
      <c r="M29" s="59">
        <f t="shared" si="8"/>
        <v>0</v>
      </c>
      <c r="N29" s="59">
        <f t="shared" si="8"/>
        <v>0</v>
      </c>
      <c r="O29" s="59">
        <f t="shared" si="8"/>
        <v>0</v>
      </c>
      <c r="P29" s="59">
        <f t="shared" si="8"/>
        <v>0</v>
      </c>
      <c r="Q29" s="59">
        <f t="shared" si="8"/>
        <v>0</v>
      </c>
      <c r="R29" s="59">
        <f t="shared" si="8"/>
        <v>0</v>
      </c>
      <c r="S29" s="59">
        <f t="shared" si="8"/>
        <v>0</v>
      </c>
      <c r="T29" s="59">
        <f t="shared" si="8"/>
        <v>0</v>
      </c>
      <c r="U29" s="60">
        <f t="shared" si="8"/>
        <v>0</v>
      </c>
    </row>
    <row r="30" spans="2:21" x14ac:dyDescent="0.25">
      <c r="B30" s="29" t="s">
        <v>18</v>
      </c>
      <c r="C30" s="15"/>
      <c r="D30" s="30">
        <f>D28-D29</f>
        <v>18176932.721281566</v>
      </c>
      <c r="E30" s="27"/>
      <c r="F30" s="55"/>
      <c r="G30" s="56"/>
      <c r="H30" s="57"/>
      <c r="I30" s="5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58"/>
    </row>
    <row r="31" spans="2:21" x14ac:dyDescent="0.25">
      <c r="B31" s="29" t="s">
        <v>17</v>
      </c>
      <c r="C31" s="15"/>
      <c r="D31" s="31">
        <f>IRR(F31:U31)</f>
        <v>0.23618074037458503</v>
      </c>
      <c r="E31" s="27"/>
      <c r="F31" s="59">
        <f t="shared" ref="F31:U31" si="9">IF(F19="","",(-F29)+F28)</f>
        <v>-1202508.2606821097</v>
      </c>
      <c r="G31" s="59">
        <f t="shared" si="9"/>
        <v>121009.00710240005</v>
      </c>
      <c r="H31" s="59">
        <f t="shared" si="9"/>
        <v>125808.66724444808</v>
      </c>
      <c r="I31" s="59">
        <f t="shared" si="9"/>
        <v>96658.436589336896</v>
      </c>
      <c r="J31" s="59">
        <f t="shared" si="9"/>
        <v>101652.00300112365</v>
      </c>
      <c r="K31" s="59">
        <f t="shared" si="9"/>
        <v>106745.44074114616</v>
      </c>
      <c r="L31" s="59">
        <f t="shared" si="9"/>
        <v>111940.74723596906</v>
      </c>
      <c r="M31" s="59">
        <f t="shared" si="9"/>
        <v>117239.95986068848</v>
      </c>
      <c r="N31" s="59">
        <f t="shared" si="9"/>
        <v>122645.15673790214</v>
      </c>
      <c r="O31" s="59">
        <f t="shared" si="9"/>
        <v>128158.45755266024</v>
      </c>
      <c r="P31" s="59">
        <f t="shared" si="9"/>
        <v>133782.02438371346</v>
      </c>
      <c r="Q31" s="59">
        <f t="shared" si="9"/>
        <v>139518.0625513877</v>
      </c>
      <c r="R31" s="59">
        <f t="shared" si="9"/>
        <v>145368.82148241543</v>
      </c>
      <c r="S31" s="59">
        <f t="shared" si="9"/>
        <v>151336.59559206379</v>
      </c>
      <c r="T31" s="59">
        <f t="shared" si="9"/>
        <v>157423.72518390502</v>
      </c>
      <c r="U31" s="60">
        <f t="shared" si="9"/>
        <v>17620153.876704514</v>
      </c>
    </row>
    <row r="32" spans="2:21" x14ac:dyDescent="0.25">
      <c r="B32" s="29" t="s">
        <v>16</v>
      </c>
      <c r="C32" s="15"/>
      <c r="D32" s="32">
        <f>D28/D29</f>
        <v>16.115848527286538</v>
      </c>
      <c r="E32" s="27"/>
      <c r="F32" s="55"/>
      <c r="G32" s="56"/>
      <c r="H32" s="57"/>
      <c r="I32" s="5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58"/>
    </row>
    <row r="33" spans="2:25" ht="5.0999999999999996" customHeight="1" x14ac:dyDescent="0.25">
      <c r="B33" s="33"/>
      <c r="C33" s="34"/>
      <c r="D33" s="35"/>
      <c r="E33" s="15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58"/>
    </row>
    <row r="34" spans="2:25" ht="15.75" x14ac:dyDescent="0.25">
      <c r="B34" s="18" t="s">
        <v>15</v>
      </c>
      <c r="C34" s="6"/>
      <c r="D34" s="6"/>
      <c r="E34" s="9"/>
      <c r="F34" s="49" t="s">
        <v>14</v>
      </c>
      <c r="G34" s="53">
        <f>G19</f>
        <v>1</v>
      </c>
      <c r="H34" s="53">
        <f t="shared" ref="H34:U34" si="10">H19</f>
        <v>2</v>
      </c>
      <c r="I34" s="53">
        <f t="shared" si="10"/>
        <v>3</v>
      </c>
      <c r="J34" s="53">
        <f t="shared" si="10"/>
        <v>4</v>
      </c>
      <c r="K34" s="53">
        <f t="shared" si="10"/>
        <v>5</v>
      </c>
      <c r="L34" s="53">
        <f t="shared" si="10"/>
        <v>6</v>
      </c>
      <c r="M34" s="53">
        <f t="shared" si="10"/>
        <v>7</v>
      </c>
      <c r="N34" s="53">
        <f t="shared" si="10"/>
        <v>8</v>
      </c>
      <c r="O34" s="53">
        <f t="shared" si="10"/>
        <v>9</v>
      </c>
      <c r="P34" s="53">
        <f t="shared" si="10"/>
        <v>10</v>
      </c>
      <c r="Q34" s="53">
        <f t="shared" si="10"/>
        <v>11</v>
      </c>
      <c r="R34" s="53">
        <f t="shared" si="10"/>
        <v>12</v>
      </c>
      <c r="S34" s="53">
        <f t="shared" si="10"/>
        <v>13</v>
      </c>
      <c r="T34" s="53">
        <f t="shared" si="10"/>
        <v>14</v>
      </c>
      <c r="U34" s="54">
        <f t="shared" si="10"/>
        <v>15</v>
      </c>
      <c r="V34" s="3"/>
      <c r="W34" s="3"/>
      <c r="X34" s="3"/>
      <c r="Y34" s="3"/>
    </row>
    <row r="35" spans="2:25" x14ac:dyDescent="0.25">
      <c r="B35" s="14"/>
      <c r="C35" s="15"/>
      <c r="D35" s="15"/>
      <c r="E35" s="20" t="s">
        <v>13</v>
      </c>
      <c r="F35" s="75">
        <f ca="1">EOMONTH(TODAY(),0)</f>
        <v>42521</v>
      </c>
      <c r="G35" s="61">
        <f ca="1">IF(G34="","",EOMONTH(F35,12))</f>
        <v>42886</v>
      </c>
      <c r="H35" s="61">
        <f t="shared" ref="H35:U35" ca="1" si="11">IF(H34="","",EOMONTH(G35,12))</f>
        <v>43251</v>
      </c>
      <c r="I35" s="61">
        <f t="shared" ca="1" si="11"/>
        <v>43616</v>
      </c>
      <c r="J35" s="61">
        <f t="shared" ca="1" si="11"/>
        <v>43982</v>
      </c>
      <c r="K35" s="61">
        <f t="shared" ca="1" si="11"/>
        <v>44347</v>
      </c>
      <c r="L35" s="61">
        <f t="shared" ca="1" si="11"/>
        <v>44712</v>
      </c>
      <c r="M35" s="61">
        <f t="shared" ca="1" si="11"/>
        <v>45077</v>
      </c>
      <c r="N35" s="61">
        <f t="shared" ca="1" si="11"/>
        <v>45443</v>
      </c>
      <c r="O35" s="61">
        <f t="shared" ca="1" si="11"/>
        <v>45808</v>
      </c>
      <c r="P35" s="61">
        <f t="shared" ca="1" si="11"/>
        <v>46173</v>
      </c>
      <c r="Q35" s="61">
        <f t="shared" ca="1" si="11"/>
        <v>46538</v>
      </c>
      <c r="R35" s="61">
        <f t="shared" ca="1" si="11"/>
        <v>46904</v>
      </c>
      <c r="S35" s="61">
        <f t="shared" ca="1" si="11"/>
        <v>47269</v>
      </c>
      <c r="T35" s="61">
        <f t="shared" ca="1" si="11"/>
        <v>47634</v>
      </c>
      <c r="U35" s="62">
        <f t="shared" ca="1" si="11"/>
        <v>47999</v>
      </c>
      <c r="V35" s="3"/>
      <c r="W35" s="3"/>
      <c r="X35" s="3"/>
      <c r="Y35" s="3"/>
    </row>
    <row r="36" spans="2:25" x14ac:dyDescent="0.25">
      <c r="B36" s="14" t="s">
        <v>37</v>
      </c>
      <c r="C36" s="15"/>
      <c r="D36" s="15"/>
      <c r="E36" s="36"/>
      <c r="F36" s="76">
        <v>-12025082.606821099</v>
      </c>
      <c r="G36" s="76">
        <v>1210090.0710240004</v>
      </c>
      <c r="H36" s="76">
        <v>1258086.6724444807</v>
      </c>
      <c r="I36" s="76">
        <v>966584.36589336884</v>
      </c>
      <c r="J36" s="76">
        <v>1016520.0300112364</v>
      </c>
      <c r="K36" s="76">
        <v>1067454.4074114615</v>
      </c>
      <c r="L36" s="76">
        <v>1119407.4723596906</v>
      </c>
      <c r="M36" s="76">
        <v>1172399.5986068847</v>
      </c>
      <c r="N36" s="76">
        <v>1226451.5673790213</v>
      </c>
      <c r="O36" s="76">
        <v>1281584.5755266023</v>
      </c>
      <c r="P36" s="76">
        <v>1337820.2438371347</v>
      </c>
      <c r="Q36" s="76">
        <v>1395180.625513877</v>
      </c>
      <c r="R36" s="76">
        <v>1453688.2148241543</v>
      </c>
      <c r="S36" s="76">
        <v>1513365.9559206378</v>
      </c>
      <c r="T36" s="76">
        <v>1574237.2518390503</v>
      </c>
      <c r="U36" s="77">
        <v>56701017.785213485</v>
      </c>
    </row>
    <row r="37" spans="2:25" x14ac:dyDescent="0.25">
      <c r="B37" s="14" t="s">
        <v>12</v>
      </c>
      <c r="C37" s="15"/>
      <c r="D37" s="15"/>
      <c r="E37" s="15"/>
      <c r="F37" s="57">
        <f>IRR(F36:U36)</f>
        <v>0.16549196819943379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58"/>
    </row>
    <row r="38" spans="2:25" x14ac:dyDescent="0.25">
      <c r="B38" s="14" t="s">
        <v>39</v>
      </c>
      <c r="C38" s="15"/>
      <c r="D38" s="15"/>
      <c r="E38" s="15"/>
      <c r="F38" s="63">
        <f>SUMIF(F36:U36,"&gt;0")/-SUMIF(F36:U36,"&lt;0")</f>
        <v>6.1782435320371674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58"/>
    </row>
    <row r="39" spans="2:25" ht="5.0999999999999996" customHeight="1" x14ac:dyDescent="0.25">
      <c r="B39" s="14"/>
      <c r="C39" s="15"/>
      <c r="D39" s="15"/>
      <c r="E39" s="37"/>
      <c r="F39" s="64"/>
      <c r="G39" s="37"/>
      <c r="H39" s="37"/>
      <c r="I39" s="37"/>
      <c r="J39" s="37"/>
      <c r="K39" s="37"/>
      <c r="L39" s="37"/>
      <c r="M39" s="37"/>
      <c r="N39" s="37"/>
      <c r="O39" s="37"/>
      <c r="P39" s="64"/>
      <c r="Q39" s="37"/>
      <c r="R39" s="37"/>
      <c r="S39" s="37"/>
      <c r="T39" s="37"/>
      <c r="U39" s="58"/>
    </row>
    <row r="40" spans="2:25" ht="15.75" x14ac:dyDescent="0.25">
      <c r="B40" s="38" t="s">
        <v>51</v>
      </c>
      <c r="C40" s="15"/>
      <c r="D40" s="15"/>
      <c r="E40" s="15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58"/>
    </row>
    <row r="41" spans="2:25" x14ac:dyDescent="0.25">
      <c r="B41" s="79" t="s">
        <v>43</v>
      </c>
      <c r="C41" s="80">
        <f>E14</f>
        <v>0.08</v>
      </c>
      <c r="D41" s="6"/>
      <c r="E41" s="6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65"/>
    </row>
    <row r="42" spans="2:25" x14ac:dyDescent="0.25">
      <c r="B42" s="14" t="s">
        <v>8</v>
      </c>
      <c r="C42" s="15"/>
      <c r="D42" s="15"/>
      <c r="E42" s="15"/>
      <c r="F42" s="66">
        <f t="shared" ref="F42:U42" si="12">IF(F34="","",E47)</f>
        <v>0</v>
      </c>
      <c r="G42" s="66">
        <f t="shared" si="12"/>
        <v>10822574.34613899</v>
      </c>
      <c r="H42" s="66">
        <f t="shared" si="12"/>
        <v>10599299.229908507</v>
      </c>
      <c r="I42" s="66">
        <f t="shared" si="12"/>
        <v>10314965.163101155</v>
      </c>
      <c r="J42" s="66">
        <f t="shared" si="12"/>
        <v>10270236.446845217</v>
      </c>
      <c r="K42" s="66">
        <f t="shared" si="12"/>
        <v>10176987.335582722</v>
      </c>
      <c r="L42" s="66">
        <f t="shared" si="12"/>
        <v>10030437.355759025</v>
      </c>
      <c r="M42" s="66">
        <f t="shared" si="12"/>
        <v>9825405.619096024</v>
      </c>
      <c r="N42" s="66">
        <f t="shared" si="12"/>
        <v>9556278.4298775103</v>
      </c>
      <c r="O42" s="66">
        <f t="shared" si="12"/>
        <v>9216974.2936265916</v>
      </c>
      <c r="P42" s="66">
        <f t="shared" si="12"/>
        <v>8800906.1191427764</v>
      </c>
      <c r="Q42" s="66">
        <f t="shared" si="12"/>
        <v>8300940.389220777</v>
      </c>
      <c r="R42" s="66">
        <f t="shared" si="12"/>
        <v>7709353.05739595</v>
      </c>
      <c r="S42" s="66">
        <f t="shared" si="12"/>
        <v>7017781.9086458869</v>
      </c>
      <c r="T42" s="66">
        <f t="shared" si="12"/>
        <v>6217175.1010089843</v>
      </c>
      <c r="U42" s="67">
        <f t="shared" si="12"/>
        <v>5297735.5824345583</v>
      </c>
    </row>
    <row r="43" spans="2:25" x14ac:dyDescent="0.25">
      <c r="B43" s="14" t="s">
        <v>52</v>
      </c>
      <c r="C43" s="15"/>
      <c r="D43" s="15"/>
      <c r="E43" s="15"/>
      <c r="F43" s="87" t="str">
        <f>IF(SUM(G43:U43)=SUM(F45:U45),"All Equity Returned","ERROR")</f>
        <v>All Equity Returned</v>
      </c>
      <c r="G43" s="66">
        <f t="shared" ref="G43:U43" si="13">G49-G44</f>
        <v>223275.11623048119</v>
      </c>
      <c r="H43" s="66">
        <f t="shared" si="13"/>
        <v>284334.06680735201</v>
      </c>
      <c r="I43" s="66">
        <f t="shared" si="13"/>
        <v>44728.716255939566</v>
      </c>
      <c r="J43" s="66">
        <f t="shared" si="13"/>
        <v>93249.111262495397</v>
      </c>
      <c r="K43" s="66">
        <f t="shared" si="13"/>
        <v>146549.97982369759</v>
      </c>
      <c r="L43" s="66">
        <f t="shared" si="13"/>
        <v>205031.73666299949</v>
      </c>
      <c r="M43" s="66">
        <f t="shared" si="13"/>
        <v>269127.18921851425</v>
      </c>
      <c r="N43" s="66">
        <f t="shared" si="13"/>
        <v>339304.13625091827</v>
      </c>
      <c r="O43" s="66">
        <f t="shared" si="13"/>
        <v>416068.17448381474</v>
      </c>
      <c r="P43" s="66">
        <f t="shared" si="13"/>
        <v>499965.72992199904</v>
      </c>
      <c r="Q43" s="66">
        <f t="shared" si="13"/>
        <v>591587.33182482724</v>
      </c>
      <c r="R43" s="66">
        <f t="shared" si="13"/>
        <v>691571.14875006292</v>
      </c>
      <c r="S43" s="66">
        <f t="shared" si="13"/>
        <v>800606.80763690302</v>
      </c>
      <c r="T43" s="66">
        <f t="shared" si="13"/>
        <v>919439.51857442642</v>
      </c>
      <c r="U43" s="67">
        <f t="shared" si="13"/>
        <v>5297735.5824345583</v>
      </c>
    </row>
    <row r="44" spans="2:25" x14ac:dyDescent="0.25">
      <c r="B44" s="14" t="s">
        <v>49</v>
      </c>
      <c r="C44" s="15"/>
      <c r="D44" s="15"/>
      <c r="E44" s="15"/>
      <c r="F44" s="66">
        <f>IF(F42="","",IF($D$4="Equity Multiple",E45*$C41-E45,F42*Preferred_Return))</f>
        <v>0</v>
      </c>
      <c r="G44" s="66">
        <f t="shared" ref="G44:U44" si="14">IF(G42="","",IF($D$4="Equity Multiple",F45*$C41-F45,G42*Preferred_Return))</f>
        <v>865805.94769111916</v>
      </c>
      <c r="H44" s="66">
        <f t="shared" si="14"/>
        <v>847943.9383926806</v>
      </c>
      <c r="I44" s="66">
        <f t="shared" si="14"/>
        <v>825197.21304809244</v>
      </c>
      <c r="J44" s="66">
        <f t="shared" si="14"/>
        <v>821618.91574761737</v>
      </c>
      <c r="K44" s="66">
        <f t="shared" si="14"/>
        <v>814158.98684661777</v>
      </c>
      <c r="L44" s="66">
        <f t="shared" si="14"/>
        <v>802434.98846072203</v>
      </c>
      <c r="M44" s="66">
        <f t="shared" si="14"/>
        <v>786032.44952768192</v>
      </c>
      <c r="N44" s="66">
        <f t="shared" si="14"/>
        <v>764502.27439020085</v>
      </c>
      <c r="O44" s="66">
        <f t="shared" si="14"/>
        <v>737357.94349012733</v>
      </c>
      <c r="P44" s="66">
        <f t="shared" si="14"/>
        <v>704072.48953142215</v>
      </c>
      <c r="Q44" s="66">
        <f t="shared" si="14"/>
        <v>664075.23113766219</v>
      </c>
      <c r="R44" s="66">
        <f t="shared" si="14"/>
        <v>616748.24459167605</v>
      </c>
      <c r="S44" s="66">
        <f t="shared" si="14"/>
        <v>561422.55269167095</v>
      </c>
      <c r="T44" s="66">
        <f t="shared" si="14"/>
        <v>497374.00808071875</v>
      </c>
      <c r="U44" s="67">
        <f t="shared" si="14"/>
        <v>423818.84659476468</v>
      </c>
    </row>
    <row r="45" spans="2:25" x14ac:dyDescent="0.25">
      <c r="B45" s="14" t="s">
        <v>7</v>
      </c>
      <c r="C45" s="15"/>
      <c r="D45" s="15"/>
      <c r="E45" s="15"/>
      <c r="F45" s="66">
        <f>IF(F42="","",-MIN(0,F36*Equity_Share_LP))</f>
        <v>10822574.34613899</v>
      </c>
      <c r="G45" s="66">
        <f t="shared" ref="G45:U45" si="15">IF(G42="","",-MIN(0,G36*Equity_Share_LP))</f>
        <v>0</v>
      </c>
      <c r="H45" s="66">
        <f t="shared" si="15"/>
        <v>0</v>
      </c>
      <c r="I45" s="66">
        <f t="shared" si="15"/>
        <v>0</v>
      </c>
      <c r="J45" s="66">
        <f t="shared" si="15"/>
        <v>0</v>
      </c>
      <c r="K45" s="66">
        <f t="shared" si="15"/>
        <v>0</v>
      </c>
      <c r="L45" s="66">
        <f t="shared" si="15"/>
        <v>0</v>
      </c>
      <c r="M45" s="66">
        <f t="shared" si="15"/>
        <v>0</v>
      </c>
      <c r="N45" s="66">
        <f t="shared" si="15"/>
        <v>0</v>
      </c>
      <c r="O45" s="66">
        <f t="shared" si="15"/>
        <v>0</v>
      </c>
      <c r="P45" s="66">
        <f t="shared" si="15"/>
        <v>0</v>
      </c>
      <c r="Q45" s="66">
        <f t="shared" si="15"/>
        <v>0</v>
      </c>
      <c r="R45" s="66">
        <f t="shared" si="15"/>
        <v>0</v>
      </c>
      <c r="S45" s="66">
        <f t="shared" si="15"/>
        <v>0</v>
      </c>
      <c r="T45" s="66">
        <f t="shared" si="15"/>
        <v>0</v>
      </c>
      <c r="U45" s="67">
        <f t="shared" si="15"/>
        <v>0</v>
      </c>
    </row>
    <row r="46" spans="2:25" x14ac:dyDescent="0.25">
      <c r="B46" s="14" t="s">
        <v>11</v>
      </c>
      <c r="C46" s="15"/>
      <c r="D46" s="15"/>
      <c r="E46" s="15"/>
      <c r="F46" s="66">
        <f>MAX(F36,F44)</f>
        <v>0</v>
      </c>
      <c r="G46" s="59">
        <f>IF(G42="","",MIN(G42+G44,MAX(G36,0)*$I$14))</f>
        <v>1089081.0639216003</v>
      </c>
      <c r="H46" s="59">
        <f t="shared" ref="H46:U46" si="16">IF(H42="","",MIN(H42+H44,MAX(H36,0)*$I$14))</f>
        <v>1132278.0052000326</v>
      </c>
      <c r="I46" s="59">
        <f t="shared" si="16"/>
        <v>869925.929304032</v>
      </c>
      <c r="J46" s="59">
        <f t="shared" si="16"/>
        <v>914868.02701011277</v>
      </c>
      <c r="K46" s="59">
        <f t="shared" si="16"/>
        <v>960708.96667031536</v>
      </c>
      <c r="L46" s="59">
        <f t="shared" si="16"/>
        <v>1007466.7251237215</v>
      </c>
      <c r="M46" s="59">
        <f t="shared" si="16"/>
        <v>1055159.6387461962</v>
      </c>
      <c r="N46" s="59">
        <f t="shared" si="16"/>
        <v>1103806.4106411191</v>
      </c>
      <c r="O46" s="59">
        <f t="shared" si="16"/>
        <v>1153426.1179739421</v>
      </c>
      <c r="P46" s="59">
        <f t="shared" si="16"/>
        <v>1204038.2194534212</v>
      </c>
      <c r="Q46" s="59">
        <f t="shared" si="16"/>
        <v>1255662.5629624894</v>
      </c>
      <c r="R46" s="59">
        <f t="shared" si="16"/>
        <v>1308319.393341739</v>
      </c>
      <c r="S46" s="59">
        <f t="shared" si="16"/>
        <v>1362029.360328574</v>
      </c>
      <c r="T46" s="59">
        <f t="shared" si="16"/>
        <v>1416813.5266551452</v>
      </c>
      <c r="U46" s="60">
        <f t="shared" si="16"/>
        <v>5721554.4290293232</v>
      </c>
    </row>
    <row r="47" spans="2:25" x14ac:dyDescent="0.25">
      <c r="B47" s="14" t="s">
        <v>5</v>
      </c>
      <c r="C47" s="15"/>
      <c r="D47" s="15"/>
      <c r="E47" s="15"/>
      <c r="F47" s="66">
        <f>F42+F45-F46</f>
        <v>10822574.34613899</v>
      </c>
      <c r="G47" s="66">
        <f>IF(G42="","",G42+G44+G45-G46)</f>
        <v>10599299.229908507</v>
      </c>
      <c r="H47" s="66">
        <f t="shared" ref="H47:U47" si="17">IF(H42="","",H42+H44+H45-H46)</f>
        <v>10314965.163101155</v>
      </c>
      <c r="I47" s="66">
        <f t="shared" si="17"/>
        <v>10270236.446845217</v>
      </c>
      <c r="J47" s="66">
        <f t="shared" si="17"/>
        <v>10176987.335582722</v>
      </c>
      <c r="K47" s="66">
        <f t="shared" si="17"/>
        <v>10030437.355759025</v>
      </c>
      <c r="L47" s="66">
        <f t="shared" si="17"/>
        <v>9825405.619096024</v>
      </c>
      <c r="M47" s="66">
        <f t="shared" si="17"/>
        <v>9556278.4298775103</v>
      </c>
      <c r="N47" s="66">
        <f t="shared" si="17"/>
        <v>9216974.2936265916</v>
      </c>
      <c r="O47" s="66">
        <f t="shared" si="17"/>
        <v>8800906.1191427764</v>
      </c>
      <c r="P47" s="66">
        <f t="shared" si="17"/>
        <v>8300940.389220777</v>
      </c>
      <c r="Q47" s="66">
        <f t="shared" si="17"/>
        <v>7709353.05739595</v>
      </c>
      <c r="R47" s="66">
        <f t="shared" si="17"/>
        <v>7017781.9086458869</v>
      </c>
      <c r="S47" s="66">
        <f t="shared" si="17"/>
        <v>6217175.1010089843</v>
      </c>
      <c r="T47" s="66">
        <f t="shared" si="17"/>
        <v>5297735.5824345583</v>
      </c>
      <c r="U47" s="67">
        <f t="shared" si="17"/>
        <v>0</v>
      </c>
    </row>
    <row r="48" spans="2:25" x14ac:dyDescent="0.25">
      <c r="B48" s="72">
        <f>C41</f>
        <v>0.08</v>
      </c>
      <c r="C48" s="15"/>
      <c r="D48" s="15"/>
      <c r="E48" s="88">
        <f>IF($D$4="IRR",IRR(F48:U48),SUMIF(F48:U48,"&gt;0")/-SUMIF(F48:U48,"&lt;0"))</f>
        <v>7.9999999999999849E-2</v>
      </c>
      <c r="F48" s="66">
        <f t="shared" ref="F48:U48" si="18">IF(F42="","",-F45+F46)</f>
        <v>-10822574.34613899</v>
      </c>
      <c r="G48" s="66">
        <f t="shared" si="18"/>
        <v>1089081.0639216003</v>
      </c>
      <c r="H48" s="66">
        <f t="shared" si="18"/>
        <v>1132278.0052000326</v>
      </c>
      <c r="I48" s="66">
        <f t="shared" si="18"/>
        <v>869925.929304032</v>
      </c>
      <c r="J48" s="66">
        <f t="shared" si="18"/>
        <v>914868.02701011277</v>
      </c>
      <c r="K48" s="66">
        <f t="shared" si="18"/>
        <v>960708.96667031536</v>
      </c>
      <c r="L48" s="66">
        <f t="shared" si="18"/>
        <v>1007466.7251237215</v>
      </c>
      <c r="M48" s="66">
        <f t="shared" si="18"/>
        <v>1055159.6387461962</v>
      </c>
      <c r="N48" s="66">
        <f t="shared" si="18"/>
        <v>1103806.4106411191</v>
      </c>
      <c r="O48" s="66">
        <f t="shared" si="18"/>
        <v>1153426.1179739421</v>
      </c>
      <c r="P48" s="66">
        <f t="shared" si="18"/>
        <v>1204038.2194534212</v>
      </c>
      <c r="Q48" s="66">
        <f t="shared" si="18"/>
        <v>1255662.5629624894</v>
      </c>
      <c r="R48" s="66">
        <f t="shared" si="18"/>
        <v>1308319.393341739</v>
      </c>
      <c r="S48" s="66">
        <f t="shared" si="18"/>
        <v>1362029.360328574</v>
      </c>
      <c r="T48" s="66">
        <f t="shared" si="18"/>
        <v>1416813.5266551452</v>
      </c>
      <c r="U48" s="67">
        <f t="shared" si="18"/>
        <v>5721554.4290293232</v>
      </c>
    </row>
    <row r="49" spans="2:21" x14ac:dyDescent="0.25">
      <c r="B49" s="14" t="s">
        <v>2</v>
      </c>
      <c r="C49" s="15"/>
      <c r="D49" s="15"/>
      <c r="E49" s="15"/>
      <c r="F49" s="66">
        <f>MAX(F36,F44)</f>
        <v>0</v>
      </c>
      <c r="G49" s="66">
        <f>IF(G42="","",MIN(G42+G44,MAX(G36,0)*$I$14))</f>
        <v>1089081.0639216003</v>
      </c>
      <c r="H49" s="66">
        <f t="shared" ref="H49:U49" si="19">H46</f>
        <v>1132278.0052000326</v>
      </c>
      <c r="I49" s="66">
        <f t="shared" si="19"/>
        <v>869925.929304032</v>
      </c>
      <c r="J49" s="66">
        <f t="shared" si="19"/>
        <v>914868.02701011277</v>
      </c>
      <c r="K49" s="66">
        <f t="shared" si="19"/>
        <v>960708.96667031536</v>
      </c>
      <c r="L49" s="66">
        <f t="shared" si="19"/>
        <v>1007466.7251237215</v>
      </c>
      <c r="M49" s="66">
        <f t="shared" si="19"/>
        <v>1055159.6387461962</v>
      </c>
      <c r="N49" s="66">
        <f t="shared" si="19"/>
        <v>1103806.4106411191</v>
      </c>
      <c r="O49" s="66">
        <f t="shared" si="19"/>
        <v>1153426.1179739421</v>
      </c>
      <c r="P49" s="66">
        <f t="shared" si="19"/>
        <v>1204038.2194534212</v>
      </c>
      <c r="Q49" s="66">
        <f t="shared" si="19"/>
        <v>1255662.5629624894</v>
      </c>
      <c r="R49" s="66">
        <f t="shared" si="19"/>
        <v>1308319.393341739</v>
      </c>
      <c r="S49" s="66">
        <f t="shared" si="19"/>
        <v>1362029.360328574</v>
      </c>
      <c r="T49" s="66">
        <f t="shared" si="19"/>
        <v>1416813.5266551452</v>
      </c>
      <c r="U49" s="67">
        <f t="shared" si="19"/>
        <v>5721554.4290293232</v>
      </c>
    </row>
    <row r="50" spans="2:21" ht="5.0999999999999996" customHeight="1" x14ac:dyDescent="0.25">
      <c r="B50" s="14"/>
      <c r="C50" s="15"/>
      <c r="D50" s="15"/>
      <c r="E50" s="1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7"/>
    </row>
    <row r="51" spans="2:21" x14ac:dyDescent="0.25">
      <c r="B51" s="14" t="s">
        <v>53</v>
      </c>
      <c r="C51" s="15"/>
      <c r="D51" s="15"/>
      <c r="E51" s="36"/>
      <c r="F51" s="66">
        <f t="shared" ref="F51:U51" si="20">IF(F34="","",E56)</f>
        <v>0</v>
      </c>
      <c r="G51" s="66">
        <f t="shared" si="20"/>
        <v>1202508.26068211</v>
      </c>
      <c r="H51" s="66">
        <f t="shared" si="20"/>
        <v>1177699.9144342786</v>
      </c>
      <c r="I51" s="66">
        <f t="shared" si="20"/>
        <v>1146107.2403445728</v>
      </c>
      <c r="J51" s="66">
        <f t="shared" si="20"/>
        <v>1141137.3829828016</v>
      </c>
      <c r="K51" s="66">
        <f t="shared" si="20"/>
        <v>1130776.3706203022</v>
      </c>
      <c r="L51" s="66">
        <f t="shared" si="20"/>
        <v>1114493.0395287802</v>
      </c>
      <c r="M51" s="66">
        <f t="shared" si="20"/>
        <v>1091711.7354551135</v>
      </c>
      <c r="N51" s="66">
        <f t="shared" si="20"/>
        <v>1061808.7144308339</v>
      </c>
      <c r="O51" s="66">
        <f t="shared" si="20"/>
        <v>1024108.2548473985</v>
      </c>
      <c r="P51" s="66">
        <f t="shared" si="20"/>
        <v>977878.45768253016</v>
      </c>
      <c r="Q51" s="66">
        <f t="shared" si="20"/>
        <v>922326.70991341909</v>
      </c>
      <c r="R51" s="66">
        <f t="shared" si="20"/>
        <v>856594.78415510489</v>
      </c>
      <c r="S51" s="66">
        <f t="shared" si="20"/>
        <v>779753.54540509789</v>
      </c>
      <c r="T51" s="66">
        <f t="shared" si="20"/>
        <v>690797.23344544182</v>
      </c>
      <c r="U51" s="67">
        <f t="shared" si="20"/>
        <v>588637.28693717218</v>
      </c>
    </row>
    <row r="52" spans="2:21" x14ac:dyDescent="0.25">
      <c r="B52" s="14" t="s">
        <v>54</v>
      </c>
      <c r="C52" s="15"/>
      <c r="D52" s="15"/>
      <c r="E52" s="15"/>
      <c r="F52" s="87" t="str">
        <f>IF(SUM(G52:U52)=SUM(F54:U54),"All Equity Returned","ERROR")</f>
        <v>All Equity Returned</v>
      </c>
      <c r="G52" s="66">
        <f>G55-G53</f>
        <v>24808.346247831243</v>
      </c>
      <c r="H52" s="66">
        <f t="shared" ref="H52:U52" si="21">H55-H53</f>
        <v>31592.67408970579</v>
      </c>
      <c r="I52" s="66">
        <f t="shared" si="21"/>
        <v>4969.8573617710645</v>
      </c>
      <c r="J52" s="66">
        <f t="shared" si="21"/>
        <v>10361.012362499518</v>
      </c>
      <c r="K52" s="66">
        <f t="shared" si="21"/>
        <v>16283.331091521977</v>
      </c>
      <c r="L52" s="66">
        <f t="shared" si="21"/>
        <v>22781.304073666644</v>
      </c>
      <c r="M52" s="66">
        <f t="shared" si="21"/>
        <v>29903.021024279398</v>
      </c>
      <c r="N52" s="66">
        <f t="shared" si="21"/>
        <v>37700.459583435426</v>
      </c>
      <c r="O52" s="66">
        <f t="shared" si="21"/>
        <v>46229.79716486836</v>
      </c>
      <c r="P52" s="66">
        <f t="shared" si="21"/>
        <v>55551.747769111054</v>
      </c>
      <c r="Q52" s="66">
        <f t="shared" si="21"/>
        <v>65731.925758314173</v>
      </c>
      <c r="R52" s="66">
        <f t="shared" si="21"/>
        <v>76841.238750007033</v>
      </c>
      <c r="S52" s="66">
        <f t="shared" si="21"/>
        <v>88956.311959655955</v>
      </c>
      <c r="T52" s="66">
        <f t="shared" si="21"/>
        <v>102159.94650826967</v>
      </c>
      <c r="U52" s="67">
        <f t="shared" si="21"/>
        <v>588637.28693717322</v>
      </c>
    </row>
    <row r="53" spans="2:21" x14ac:dyDescent="0.25">
      <c r="B53" s="14" t="s">
        <v>55</v>
      </c>
      <c r="C53" s="15"/>
      <c r="D53" s="15"/>
      <c r="E53" s="36"/>
      <c r="F53" s="66">
        <f>IF(F34="","",IF($D$4="Equity Multiple",E54*$C41-E54,F51*Preferred_Return))</f>
        <v>0</v>
      </c>
      <c r="G53" s="66">
        <f t="shared" ref="G53:U53" si="22">IF(G51="","",IF($D$4="Equity Multiple",F54*$C41-F54,G51*Preferred_Return))</f>
        <v>96200.660854568807</v>
      </c>
      <c r="H53" s="66">
        <f t="shared" si="22"/>
        <v>94215.993154742289</v>
      </c>
      <c r="I53" s="66">
        <f t="shared" si="22"/>
        <v>91688.579227565831</v>
      </c>
      <c r="J53" s="66">
        <f t="shared" si="22"/>
        <v>91290.990638624135</v>
      </c>
      <c r="K53" s="66">
        <f t="shared" si="22"/>
        <v>90462.109649624181</v>
      </c>
      <c r="L53" s="66">
        <f t="shared" si="22"/>
        <v>89159.443162302414</v>
      </c>
      <c r="M53" s="66">
        <f t="shared" si="22"/>
        <v>87336.938836409085</v>
      </c>
      <c r="N53" s="66">
        <f t="shared" si="22"/>
        <v>84944.697154466718</v>
      </c>
      <c r="O53" s="66">
        <f t="shared" si="22"/>
        <v>81928.660387791882</v>
      </c>
      <c r="P53" s="66">
        <f t="shared" si="22"/>
        <v>78230.276614602408</v>
      </c>
      <c r="Q53" s="66">
        <f t="shared" si="22"/>
        <v>73786.136793073529</v>
      </c>
      <c r="R53" s="66">
        <f t="shared" si="22"/>
        <v>68527.582732408395</v>
      </c>
      <c r="S53" s="66">
        <f t="shared" si="22"/>
        <v>62380.283632407831</v>
      </c>
      <c r="T53" s="66">
        <f t="shared" si="22"/>
        <v>55263.778675635345</v>
      </c>
      <c r="U53" s="67">
        <f t="shared" si="22"/>
        <v>47090.982954973777</v>
      </c>
    </row>
    <row r="54" spans="2:21" x14ac:dyDescent="0.25">
      <c r="B54" s="14" t="s">
        <v>56</v>
      </c>
      <c r="C54" s="15"/>
      <c r="D54" s="15"/>
      <c r="E54" s="15"/>
      <c r="F54" s="66">
        <f t="shared" ref="F54:U54" si="23">IF(F34="","",-MIN(0,F36*Equity_Share_Sponsor))</f>
        <v>1202508.26068211</v>
      </c>
      <c r="G54" s="66">
        <f t="shared" si="23"/>
        <v>0</v>
      </c>
      <c r="H54" s="66">
        <f t="shared" si="23"/>
        <v>0</v>
      </c>
      <c r="I54" s="66">
        <f t="shared" si="23"/>
        <v>0</v>
      </c>
      <c r="J54" s="66">
        <f t="shared" si="23"/>
        <v>0</v>
      </c>
      <c r="K54" s="66">
        <f t="shared" si="23"/>
        <v>0</v>
      </c>
      <c r="L54" s="66">
        <f t="shared" si="23"/>
        <v>0</v>
      </c>
      <c r="M54" s="66">
        <f t="shared" si="23"/>
        <v>0</v>
      </c>
      <c r="N54" s="66">
        <f t="shared" si="23"/>
        <v>0</v>
      </c>
      <c r="O54" s="66">
        <f t="shared" si="23"/>
        <v>0</v>
      </c>
      <c r="P54" s="66">
        <f t="shared" si="23"/>
        <v>0</v>
      </c>
      <c r="Q54" s="66">
        <f t="shared" si="23"/>
        <v>0</v>
      </c>
      <c r="R54" s="66">
        <f t="shared" si="23"/>
        <v>0</v>
      </c>
      <c r="S54" s="66">
        <f t="shared" si="23"/>
        <v>0</v>
      </c>
      <c r="T54" s="66">
        <f t="shared" si="23"/>
        <v>0</v>
      </c>
      <c r="U54" s="67">
        <f t="shared" si="23"/>
        <v>0</v>
      </c>
    </row>
    <row r="55" spans="2:21" x14ac:dyDescent="0.25">
      <c r="B55" s="14" t="s">
        <v>1</v>
      </c>
      <c r="C55" s="15"/>
      <c r="D55" s="15"/>
      <c r="E55" s="15"/>
      <c r="F55" s="66">
        <f t="shared" ref="F55:U55" si="24">IF(F42="","",F49/$I$14*$H$14)</f>
        <v>0</v>
      </c>
      <c r="G55" s="59">
        <f t="shared" si="24"/>
        <v>121009.00710240005</v>
      </c>
      <c r="H55" s="59">
        <f t="shared" si="24"/>
        <v>125808.66724444808</v>
      </c>
      <c r="I55" s="59">
        <f t="shared" si="24"/>
        <v>96658.436589336896</v>
      </c>
      <c r="J55" s="59">
        <f t="shared" si="24"/>
        <v>101652.00300112365</v>
      </c>
      <c r="K55" s="59">
        <f t="shared" si="24"/>
        <v>106745.44074114616</v>
      </c>
      <c r="L55" s="59">
        <f t="shared" si="24"/>
        <v>111940.74723596906</v>
      </c>
      <c r="M55" s="59">
        <f t="shared" si="24"/>
        <v>117239.95986068848</v>
      </c>
      <c r="N55" s="59">
        <f t="shared" si="24"/>
        <v>122645.15673790214</v>
      </c>
      <c r="O55" s="59">
        <f t="shared" si="24"/>
        <v>128158.45755266024</v>
      </c>
      <c r="P55" s="59">
        <f t="shared" si="24"/>
        <v>133782.02438371346</v>
      </c>
      <c r="Q55" s="59">
        <f t="shared" si="24"/>
        <v>139518.0625513877</v>
      </c>
      <c r="R55" s="59">
        <f t="shared" si="24"/>
        <v>145368.82148241543</v>
      </c>
      <c r="S55" s="59">
        <f t="shared" si="24"/>
        <v>151336.59559206379</v>
      </c>
      <c r="T55" s="59">
        <f t="shared" si="24"/>
        <v>157423.72518390502</v>
      </c>
      <c r="U55" s="60">
        <f t="shared" si="24"/>
        <v>635728.26989214704</v>
      </c>
    </row>
    <row r="56" spans="2:21" x14ac:dyDescent="0.25">
      <c r="B56" s="14" t="s">
        <v>57</v>
      </c>
      <c r="C56" s="15"/>
      <c r="D56" s="15"/>
      <c r="E56" s="15"/>
      <c r="F56" s="66">
        <f>MAX(F53+F51+F54-F55,0)</f>
        <v>1202508.26068211</v>
      </c>
      <c r="G56" s="59">
        <f>IF(G51="","",MAX(G51+G53+G54-G55,0))</f>
        <v>1177699.9144342786</v>
      </c>
      <c r="H56" s="59">
        <f t="shared" ref="H56:U56" si="25">IF(H51="","",MAX(H51+H53+H54-H55,0))</f>
        <v>1146107.2403445728</v>
      </c>
      <c r="I56" s="59">
        <f t="shared" si="25"/>
        <v>1141137.3829828016</v>
      </c>
      <c r="J56" s="59">
        <f t="shared" si="25"/>
        <v>1130776.3706203022</v>
      </c>
      <c r="K56" s="59">
        <f t="shared" si="25"/>
        <v>1114493.0395287802</v>
      </c>
      <c r="L56" s="59">
        <f t="shared" si="25"/>
        <v>1091711.7354551135</v>
      </c>
      <c r="M56" s="59">
        <f t="shared" si="25"/>
        <v>1061808.7144308339</v>
      </c>
      <c r="N56" s="59">
        <f t="shared" si="25"/>
        <v>1024108.2548473985</v>
      </c>
      <c r="O56" s="59">
        <f t="shared" si="25"/>
        <v>977878.45768253016</v>
      </c>
      <c r="P56" s="59">
        <f t="shared" si="25"/>
        <v>922326.70991341909</v>
      </c>
      <c r="Q56" s="59">
        <f t="shared" si="25"/>
        <v>856594.78415510489</v>
      </c>
      <c r="R56" s="59">
        <f t="shared" si="25"/>
        <v>779753.54540509789</v>
      </c>
      <c r="S56" s="59">
        <f t="shared" si="25"/>
        <v>690797.23344544182</v>
      </c>
      <c r="T56" s="59">
        <f t="shared" si="25"/>
        <v>588637.28693717218</v>
      </c>
      <c r="U56" s="60">
        <f t="shared" si="25"/>
        <v>0</v>
      </c>
    </row>
    <row r="57" spans="2:21" ht="5.0999999999999996" customHeight="1" x14ac:dyDescent="0.25">
      <c r="B57" s="14"/>
      <c r="C57" s="15"/>
      <c r="D57" s="15"/>
      <c r="E57" s="15"/>
      <c r="F57" s="66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</row>
    <row r="58" spans="2:21" x14ac:dyDescent="0.25">
      <c r="B58" s="14" t="str">
        <f>"Total Distributions ("&amp;B40&amp;")"</f>
        <v>Total Distributions (Return of Capital &amp; Hurdle 1 (Preferred Return))</v>
      </c>
      <c r="C58" s="15"/>
      <c r="D58" s="15"/>
      <c r="E58" s="15"/>
      <c r="F58" s="66">
        <f t="shared" ref="F58:U58" si="26">IF(F42="","",F55+F49)</f>
        <v>0</v>
      </c>
      <c r="G58" s="66">
        <f t="shared" si="26"/>
        <v>1210090.0710240004</v>
      </c>
      <c r="H58" s="66">
        <f t="shared" si="26"/>
        <v>1258086.6724444807</v>
      </c>
      <c r="I58" s="66">
        <f t="shared" si="26"/>
        <v>966584.36589336884</v>
      </c>
      <c r="J58" s="66">
        <f t="shared" si="26"/>
        <v>1016520.0300112364</v>
      </c>
      <c r="K58" s="66">
        <f t="shared" si="26"/>
        <v>1067454.4074114615</v>
      </c>
      <c r="L58" s="66">
        <f t="shared" si="26"/>
        <v>1119407.4723596906</v>
      </c>
      <c r="M58" s="66">
        <f t="shared" si="26"/>
        <v>1172399.5986068847</v>
      </c>
      <c r="N58" s="66">
        <f t="shared" si="26"/>
        <v>1226451.5673790213</v>
      </c>
      <c r="O58" s="66">
        <f t="shared" si="26"/>
        <v>1281584.5755266023</v>
      </c>
      <c r="P58" s="66">
        <f t="shared" si="26"/>
        <v>1337820.2438371347</v>
      </c>
      <c r="Q58" s="66">
        <f t="shared" si="26"/>
        <v>1395180.6255138773</v>
      </c>
      <c r="R58" s="66">
        <f t="shared" si="26"/>
        <v>1453688.2148241545</v>
      </c>
      <c r="S58" s="66">
        <f t="shared" si="26"/>
        <v>1513365.9559206378</v>
      </c>
      <c r="T58" s="66">
        <f t="shared" si="26"/>
        <v>1574237.2518390503</v>
      </c>
      <c r="U58" s="67">
        <f t="shared" si="26"/>
        <v>6357282.69892147</v>
      </c>
    </row>
    <row r="59" spans="2:21" x14ac:dyDescent="0.25">
      <c r="B59" s="14" t="s">
        <v>0</v>
      </c>
      <c r="C59" s="15"/>
      <c r="D59" s="15"/>
      <c r="E59" s="15"/>
      <c r="F59" s="66">
        <f t="shared" ref="F59:U59" si="27">IF(F42="","",MAX(F36-F58,0))</f>
        <v>0</v>
      </c>
      <c r="G59" s="66">
        <f t="shared" si="27"/>
        <v>0</v>
      </c>
      <c r="H59" s="66">
        <f t="shared" si="27"/>
        <v>0</v>
      </c>
      <c r="I59" s="66">
        <f t="shared" si="27"/>
        <v>0</v>
      </c>
      <c r="J59" s="66">
        <f t="shared" si="27"/>
        <v>0</v>
      </c>
      <c r="K59" s="66">
        <f t="shared" si="27"/>
        <v>0</v>
      </c>
      <c r="L59" s="66">
        <f t="shared" si="27"/>
        <v>0</v>
      </c>
      <c r="M59" s="66">
        <f t="shared" si="27"/>
        <v>0</v>
      </c>
      <c r="N59" s="66">
        <f t="shared" si="27"/>
        <v>0</v>
      </c>
      <c r="O59" s="66">
        <f t="shared" si="27"/>
        <v>0</v>
      </c>
      <c r="P59" s="66">
        <f t="shared" si="27"/>
        <v>0</v>
      </c>
      <c r="Q59" s="66">
        <f t="shared" si="27"/>
        <v>0</v>
      </c>
      <c r="R59" s="66">
        <f t="shared" si="27"/>
        <v>0</v>
      </c>
      <c r="S59" s="66">
        <f t="shared" si="27"/>
        <v>0</v>
      </c>
      <c r="T59" s="66">
        <f t="shared" si="27"/>
        <v>0</v>
      </c>
      <c r="U59" s="67">
        <f t="shared" si="27"/>
        <v>50343735.086292014</v>
      </c>
    </row>
    <row r="60" spans="2:21" ht="5.0999999999999996" customHeight="1" x14ac:dyDescent="0.25">
      <c r="B60" s="14"/>
      <c r="C60" s="15"/>
      <c r="D60" s="15"/>
      <c r="E60" s="15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58"/>
    </row>
    <row r="61" spans="2:21" ht="15.75" x14ac:dyDescent="0.25">
      <c r="B61" s="38" t="s">
        <v>10</v>
      </c>
      <c r="C61" s="15"/>
      <c r="D61" s="15"/>
      <c r="E61" s="15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58"/>
    </row>
    <row r="62" spans="2:21" x14ac:dyDescent="0.25">
      <c r="B62" s="79" t="s">
        <v>43</v>
      </c>
      <c r="C62" s="80">
        <f>E15</f>
        <v>0.12</v>
      </c>
      <c r="D62" s="6"/>
      <c r="E62" s="6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65"/>
    </row>
    <row r="63" spans="2:21" x14ac:dyDescent="0.25">
      <c r="B63" s="14" t="s">
        <v>8</v>
      </c>
      <c r="C63" s="15"/>
      <c r="D63" s="15"/>
      <c r="E63" s="15"/>
      <c r="F63" s="66">
        <f t="shared" ref="F63:U63" si="28">IF(F34="","",E68)</f>
        <v>0</v>
      </c>
      <c r="G63" s="66">
        <f t="shared" si="28"/>
        <v>10822574.34613899</v>
      </c>
      <c r="H63" s="66">
        <f t="shared" si="28"/>
        <v>11032202.203754067</v>
      </c>
      <c r="I63" s="66">
        <f t="shared" si="28"/>
        <v>11223788.463004524</v>
      </c>
      <c r="J63" s="66">
        <f t="shared" si="28"/>
        <v>11700717.149261035</v>
      </c>
      <c r="K63" s="66">
        <f t="shared" si="28"/>
        <v>12189935.180162245</v>
      </c>
      <c r="L63" s="66">
        <f t="shared" si="28"/>
        <v>12692018.4351114</v>
      </c>
      <c r="M63" s="66">
        <f t="shared" si="28"/>
        <v>13207593.922201045</v>
      </c>
      <c r="N63" s="66">
        <f t="shared" si="28"/>
        <v>13737345.554118974</v>
      </c>
      <c r="O63" s="66">
        <f t="shared" si="28"/>
        <v>14282020.609972132</v>
      </c>
      <c r="P63" s="66">
        <f t="shared" si="28"/>
        <v>14842436.965194846</v>
      </c>
      <c r="Q63" s="66">
        <f t="shared" si="28"/>
        <v>15419491.181564806</v>
      </c>
      <c r="R63" s="66">
        <f t="shared" si="28"/>
        <v>16014167.560390094</v>
      </c>
      <c r="S63" s="66">
        <f t="shared" si="28"/>
        <v>16627548.274295166</v>
      </c>
      <c r="T63" s="66">
        <f t="shared" si="28"/>
        <v>17260824.706882011</v>
      </c>
      <c r="U63" s="67">
        <f t="shared" si="28"/>
        <v>17915310.145052709</v>
      </c>
    </row>
    <row r="64" spans="2:21" x14ac:dyDescent="0.25">
      <c r="B64" s="14" t="s">
        <v>48</v>
      </c>
      <c r="C64" s="15"/>
      <c r="D64" s="15"/>
      <c r="E64" s="15"/>
      <c r="F64" s="66">
        <f>IF(F63="","",IF($D$4="Equity Multiple",E65*$C62-E65,F63*$C62))</f>
        <v>0</v>
      </c>
      <c r="G64" s="66">
        <f t="shared" ref="G64:U64" si="29">IF(G63="","",IF($D$4="Equity Multiple",F65*$C62-F65,G63*$C62))</f>
        <v>1298708.9215366787</v>
      </c>
      <c r="H64" s="66">
        <f t="shared" si="29"/>
        <v>1323864.2644504881</v>
      </c>
      <c r="I64" s="66">
        <f t="shared" si="29"/>
        <v>1346854.6155605428</v>
      </c>
      <c r="J64" s="66">
        <f t="shared" si="29"/>
        <v>1404086.0579113241</v>
      </c>
      <c r="K64" s="66">
        <f t="shared" si="29"/>
        <v>1462792.2216194693</v>
      </c>
      <c r="L64" s="66">
        <f t="shared" si="29"/>
        <v>1523042.2122133679</v>
      </c>
      <c r="M64" s="66">
        <f t="shared" si="29"/>
        <v>1584911.2706641252</v>
      </c>
      <c r="N64" s="66">
        <f t="shared" si="29"/>
        <v>1648481.4664942769</v>
      </c>
      <c r="O64" s="66">
        <f t="shared" si="29"/>
        <v>1713842.4731966557</v>
      </c>
      <c r="P64" s="66">
        <f t="shared" si="29"/>
        <v>1781092.4358233814</v>
      </c>
      <c r="Q64" s="66">
        <f t="shared" si="29"/>
        <v>1850338.9417877768</v>
      </c>
      <c r="R64" s="66">
        <f t="shared" si="29"/>
        <v>1921700.1072468113</v>
      </c>
      <c r="S64" s="66">
        <f t="shared" si="29"/>
        <v>1995305.7929154199</v>
      </c>
      <c r="T64" s="66">
        <f t="shared" si="29"/>
        <v>2071298.9648258414</v>
      </c>
      <c r="U64" s="67">
        <f t="shared" si="29"/>
        <v>2149837.217406325</v>
      </c>
    </row>
    <row r="65" spans="2:21" x14ac:dyDescent="0.25">
      <c r="B65" s="14" t="s">
        <v>7</v>
      </c>
      <c r="C65" s="15"/>
      <c r="D65" s="15"/>
      <c r="E65" s="15"/>
      <c r="F65" s="66">
        <f t="shared" ref="F65:U65" si="30">IF(F63="","",-MIN(0,F$36*Equity_Share_LP))</f>
        <v>10822574.34613899</v>
      </c>
      <c r="G65" s="66">
        <f t="shared" si="30"/>
        <v>0</v>
      </c>
      <c r="H65" s="66">
        <f t="shared" si="30"/>
        <v>0</v>
      </c>
      <c r="I65" s="66">
        <f t="shared" si="30"/>
        <v>0</v>
      </c>
      <c r="J65" s="66">
        <f t="shared" si="30"/>
        <v>0</v>
      </c>
      <c r="K65" s="66">
        <f t="shared" si="30"/>
        <v>0</v>
      </c>
      <c r="L65" s="66">
        <f t="shared" si="30"/>
        <v>0</v>
      </c>
      <c r="M65" s="66">
        <f t="shared" si="30"/>
        <v>0</v>
      </c>
      <c r="N65" s="66">
        <f t="shared" si="30"/>
        <v>0</v>
      </c>
      <c r="O65" s="66">
        <f t="shared" si="30"/>
        <v>0</v>
      </c>
      <c r="P65" s="66">
        <f t="shared" si="30"/>
        <v>0</v>
      </c>
      <c r="Q65" s="66">
        <f t="shared" si="30"/>
        <v>0</v>
      </c>
      <c r="R65" s="66">
        <f t="shared" si="30"/>
        <v>0</v>
      </c>
      <c r="S65" s="66">
        <f t="shared" si="30"/>
        <v>0</v>
      </c>
      <c r="T65" s="66">
        <f t="shared" si="30"/>
        <v>0</v>
      </c>
      <c r="U65" s="67">
        <f t="shared" si="30"/>
        <v>0</v>
      </c>
    </row>
    <row r="66" spans="2:21" x14ac:dyDescent="0.25">
      <c r="B66" s="14" t="s">
        <v>6</v>
      </c>
      <c r="C66" s="15"/>
      <c r="D66" s="15"/>
      <c r="E66" s="15"/>
      <c r="F66" s="66">
        <f t="shared" ref="F66:U66" si="31">F49</f>
        <v>0</v>
      </c>
      <c r="G66" s="66">
        <f t="shared" si="31"/>
        <v>1089081.0639216003</v>
      </c>
      <c r="H66" s="66">
        <f t="shared" si="31"/>
        <v>1132278.0052000326</v>
      </c>
      <c r="I66" s="66">
        <f t="shared" si="31"/>
        <v>869925.929304032</v>
      </c>
      <c r="J66" s="66">
        <f t="shared" si="31"/>
        <v>914868.02701011277</v>
      </c>
      <c r="K66" s="66">
        <f t="shared" si="31"/>
        <v>960708.96667031536</v>
      </c>
      <c r="L66" s="66">
        <f t="shared" si="31"/>
        <v>1007466.7251237215</v>
      </c>
      <c r="M66" s="66">
        <f t="shared" si="31"/>
        <v>1055159.6387461962</v>
      </c>
      <c r="N66" s="66">
        <f t="shared" si="31"/>
        <v>1103806.4106411191</v>
      </c>
      <c r="O66" s="66">
        <f t="shared" si="31"/>
        <v>1153426.1179739421</v>
      </c>
      <c r="P66" s="66">
        <f t="shared" si="31"/>
        <v>1204038.2194534212</v>
      </c>
      <c r="Q66" s="66">
        <f t="shared" si="31"/>
        <v>1255662.5629624894</v>
      </c>
      <c r="R66" s="66">
        <f t="shared" si="31"/>
        <v>1308319.393341739</v>
      </c>
      <c r="S66" s="66">
        <f t="shared" si="31"/>
        <v>1362029.360328574</v>
      </c>
      <c r="T66" s="66">
        <f t="shared" si="31"/>
        <v>1416813.5266551452</v>
      </c>
      <c r="U66" s="67">
        <f t="shared" si="31"/>
        <v>5721554.4290293232</v>
      </c>
    </row>
    <row r="67" spans="2:21" x14ac:dyDescent="0.25">
      <c r="B67" s="14" t="str">
        <f>"Distributions to LP "&amp;B61</f>
        <v>Distributions to LP Hurdle 2</v>
      </c>
      <c r="C67" s="15"/>
      <c r="D67" s="15"/>
      <c r="E67" s="15"/>
      <c r="F67" s="66">
        <f t="shared" ref="F67:U67" si="32">IF(F63="","",MIN(F63+F64-F66,F59*$I$15))</f>
        <v>0</v>
      </c>
      <c r="G67" s="66">
        <f t="shared" si="32"/>
        <v>0</v>
      </c>
      <c r="H67" s="66">
        <f t="shared" si="32"/>
        <v>0</v>
      </c>
      <c r="I67" s="66">
        <f t="shared" si="32"/>
        <v>0</v>
      </c>
      <c r="J67" s="66">
        <f t="shared" si="32"/>
        <v>0</v>
      </c>
      <c r="K67" s="66">
        <f t="shared" si="32"/>
        <v>0</v>
      </c>
      <c r="L67" s="66">
        <f t="shared" si="32"/>
        <v>0</v>
      </c>
      <c r="M67" s="66">
        <f t="shared" si="32"/>
        <v>0</v>
      </c>
      <c r="N67" s="66">
        <f t="shared" si="32"/>
        <v>0</v>
      </c>
      <c r="O67" s="66">
        <f t="shared" si="32"/>
        <v>0</v>
      </c>
      <c r="P67" s="66">
        <f t="shared" si="32"/>
        <v>0</v>
      </c>
      <c r="Q67" s="66">
        <f t="shared" si="32"/>
        <v>0</v>
      </c>
      <c r="R67" s="66">
        <f t="shared" si="32"/>
        <v>0</v>
      </c>
      <c r="S67" s="66">
        <f t="shared" si="32"/>
        <v>0</v>
      </c>
      <c r="T67" s="66">
        <f t="shared" si="32"/>
        <v>0</v>
      </c>
      <c r="U67" s="67">
        <f t="shared" si="32"/>
        <v>14343592.933429711</v>
      </c>
    </row>
    <row r="68" spans="2:21" x14ac:dyDescent="0.25">
      <c r="B68" s="14" t="s">
        <v>5</v>
      </c>
      <c r="C68" s="15"/>
      <c r="D68" s="15"/>
      <c r="E68" s="15"/>
      <c r="F68" s="66">
        <f>F63+F65-F67</f>
        <v>10822574.34613899</v>
      </c>
      <c r="G68" s="66">
        <f t="shared" ref="G68:U68" si="33">IF(G63="","",G63+G64+G65-G66-G67)</f>
        <v>11032202.203754067</v>
      </c>
      <c r="H68" s="66">
        <f t="shared" si="33"/>
        <v>11223788.463004524</v>
      </c>
      <c r="I68" s="66">
        <f t="shared" si="33"/>
        <v>11700717.149261035</v>
      </c>
      <c r="J68" s="66">
        <f t="shared" si="33"/>
        <v>12189935.180162245</v>
      </c>
      <c r="K68" s="66">
        <f t="shared" si="33"/>
        <v>12692018.4351114</v>
      </c>
      <c r="L68" s="66">
        <f t="shared" si="33"/>
        <v>13207593.922201045</v>
      </c>
      <c r="M68" s="66">
        <f t="shared" si="33"/>
        <v>13737345.554118974</v>
      </c>
      <c r="N68" s="66">
        <f t="shared" si="33"/>
        <v>14282020.609972132</v>
      </c>
      <c r="O68" s="66">
        <f t="shared" si="33"/>
        <v>14842436.965194846</v>
      </c>
      <c r="P68" s="66">
        <f t="shared" si="33"/>
        <v>15419491.181564806</v>
      </c>
      <c r="Q68" s="66">
        <f t="shared" si="33"/>
        <v>16014167.560390094</v>
      </c>
      <c r="R68" s="66">
        <f t="shared" si="33"/>
        <v>16627548.274295166</v>
      </c>
      <c r="S68" s="66">
        <f t="shared" si="33"/>
        <v>17260824.706882011</v>
      </c>
      <c r="T68" s="66">
        <f t="shared" si="33"/>
        <v>17915310.145052709</v>
      </c>
      <c r="U68" s="67">
        <f t="shared" si="33"/>
        <v>0</v>
      </c>
    </row>
    <row r="69" spans="2:21" x14ac:dyDescent="0.25">
      <c r="B69" s="72">
        <f>C62</f>
        <v>0.12</v>
      </c>
      <c r="C69" s="15"/>
      <c r="D69" s="15"/>
      <c r="E69" s="88">
        <f>IF($D$4="IRR",IRR(F69:U69),SUMIF(F69:U69,"&gt;0")/-SUMIF(F69:U69,"&lt;0"))</f>
        <v>0.11999999999999988</v>
      </c>
      <c r="F69" s="66">
        <f>IF(F63="","",-F65+F67)</f>
        <v>-10822574.34613899</v>
      </c>
      <c r="G69" s="66">
        <f t="shared" ref="G69:U69" si="34">IF(G63="","",-G65+G66+G67)</f>
        <v>1089081.0639216003</v>
      </c>
      <c r="H69" s="66">
        <f t="shared" si="34"/>
        <v>1132278.0052000326</v>
      </c>
      <c r="I69" s="66">
        <f t="shared" si="34"/>
        <v>869925.929304032</v>
      </c>
      <c r="J69" s="66">
        <f t="shared" si="34"/>
        <v>914868.02701011277</v>
      </c>
      <c r="K69" s="66">
        <f t="shared" si="34"/>
        <v>960708.96667031536</v>
      </c>
      <c r="L69" s="66">
        <f t="shared" si="34"/>
        <v>1007466.7251237215</v>
      </c>
      <c r="M69" s="66">
        <f t="shared" si="34"/>
        <v>1055159.6387461962</v>
      </c>
      <c r="N69" s="66">
        <f t="shared" si="34"/>
        <v>1103806.4106411191</v>
      </c>
      <c r="O69" s="66">
        <f t="shared" si="34"/>
        <v>1153426.1179739421</v>
      </c>
      <c r="P69" s="66">
        <f t="shared" si="34"/>
        <v>1204038.2194534212</v>
      </c>
      <c r="Q69" s="66">
        <f t="shared" si="34"/>
        <v>1255662.5629624894</v>
      </c>
      <c r="R69" s="66">
        <f t="shared" si="34"/>
        <v>1308319.393341739</v>
      </c>
      <c r="S69" s="66">
        <f t="shared" si="34"/>
        <v>1362029.360328574</v>
      </c>
      <c r="T69" s="66">
        <f t="shared" si="34"/>
        <v>1416813.5266551452</v>
      </c>
      <c r="U69" s="67">
        <f t="shared" si="34"/>
        <v>20065147.362459034</v>
      </c>
    </row>
    <row r="70" spans="2:21" ht="5.0999999999999996" customHeight="1" x14ac:dyDescent="0.25">
      <c r="B70" s="39" t="s">
        <v>4</v>
      </c>
      <c r="C70" s="40" t="s">
        <v>4</v>
      </c>
      <c r="D70" s="40" t="s">
        <v>4</v>
      </c>
      <c r="E70" s="40" t="s">
        <v>4</v>
      </c>
      <c r="F70" s="68" t="str">
        <f t="shared" ref="F70:U70" si="35">IF(F63="","",".")</f>
        <v>.</v>
      </c>
      <c r="G70" s="68" t="str">
        <f t="shared" si="35"/>
        <v>.</v>
      </c>
      <c r="H70" s="68" t="str">
        <f t="shared" si="35"/>
        <v>.</v>
      </c>
      <c r="I70" s="68" t="str">
        <f t="shared" si="35"/>
        <v>.</v>
      </c>
      <c r="J70" s="68" t="str">
        <f t="shared" si="35"/>
        <v>.</v>
      </c>
      <c r="K70" s="68" t="str">
        <f t="shared" si="35"/>
        <v>.</v>
      </c>
      <c r="L70" s="68" t="str">
        <f t="shared" si="35"/>
        <v>.</v>
      </c>
      <c r="M70" s="68" t="str">
        <f t="shared" si="35"/>
        <v>.</v>
      </c>
      <c r="N70" s="68" t="str">
        <f t="shared" si="35"/>
        <v>.</v>
      </c>
      <c r="O70" s="68" t="str">
        <f t="shared" si="35"/>
        <v>.</v>
      </c>
      <c r="P70" s="68" t="str">
        <f t="shared" si="35"/>
        <v>.</v>
      </c>
      <c r="Q70" s="68" t="str">
        <f t="shared" si="35"/>
        <v>.</v>
      </c>
      <c r="R70" s="68" t="str">
        <f t="shared" si="35"/>
        <v>.</v>
      </c>
      <c r="S70" s="68" t="str">
        <f t="shared" si="35"/>
        <v>.</v>
      </c>
      <c r="T70" s="68" t="str">
        <f t="shared" si="35"/>
        <v>.</v>
      </c>
      <c r="U70" s="69" t="str">
        <f t="shared" si="35"/>
        <v>.</v>
      </c>
    </row>
    <row r="71" spans="2:21" x14ac:dyDescent="0.25">
      <c r="B71" s="14" t="s">
        <v>2</v>
      </c>
      <c r="C71" s="15"/>
      <c r="D71" s="15"/>
      <c r="E71" s="15"/>
      <c r="F71" s="66">
        <f t="shared" ref="F71:U71" si="36">IF(F63="","",F67)</f>
        <v>0</v>
      </c>
      <c r="G71" s="66">
        <f t="shared" si="36"/>
        <v>0</v>
      </c>
      <c r="H71" s="66">
        <f t="shared" si="36"/>
        <v>0</v>
      </c>
      <c r="I71" s="66">
        <f t="shared" si="36"/>
        <v>0</v>
      </c>
      <c r="J71" s="66">
        <f t="shared" si="36"/>
        <v>0</v>
      </c>
      <c r="K71" s="66">
        <f t="shared" si="36"/>
        <v>0</v>
      </c>
      <c r="L71" s="66">
        <f t="shared" si="36"/>
        <v>0</v>
      </c>
      <c r="M71" s="66">
        <f t="shared" si="36"/>
        <v>0</v>
      </c>
      <c r="N71" s="66">
        <f t="shared" si="36"/>
        <v>0</v>
      </c>
      <c r="O71" s="66">
        <f t="shared" si="36"/>
        <v>0</v>
      </c>
      <c r="P71" s="66">
        <f t="shared" si="36"/>
        <v>0</v>
      </c>
      <c r="Q71" s="66">
        <f t="shared" si="36"/>
        <v>0</v>
      </c>
      <c r="R71" s="66">
        <f t="shared" si="36"/>
        <v>0</v>
      </c>
      <c r="S71" s="66">
        <f t="shared" si="36"/>
        <v>0</v>
      </c>
      <c r="T71" s="66">
        <f t="shared" si="36"/>
        <v>0</v>
      </c>
      <c r="U71" s="67">
        <f t="shared" si="36"/>
        <v>14343592.933429711</v>
      </c>
    </row>
    <row r="72" spans="2:21" x14ac:dyDescent="0.25">
      <c r="B72" s="14" t="s">
        <v>1</v>
      </c>
      <c r="C72" s="15"/>
      <c r="D72" s="15"/>
      <c r="E72" s="15"/>
      <c r="F72" s="66">
        <f t="shared" ref="F72:U72" si="37">IF(F63="","",F71/VLOOKUP($B61,Promote_Structure,8,FALSE)*VLOOKUP($B61,Promote_Structure,7,FALSE))</f>
        <v>0</v>
      </c>
      <c r="G72" s="66">
        <f t="shared" si="37"/>
        <v>0</v>
      </c>
      <c r="H72" s="66">
        <f t="shared" si="37"/>
        <v>0</v>
      </c>
      <c r="I72" s="66">
        <f t="shared" si="37"/>
        <v>0</v>
      </c>
      <c r="J72" s="66">
        <f t="shared" si="37"/>
        <v>0</v>
      </c>
      <c r="K72" s="66">
        <f t="shared" si="37"/>
        <v>0</v>
      </c>
      <c r="L72" s="66">
        <f t="shared" si="37"/>
        <v>0</v>
      </c>
      <c r="M72" s="66">
        <f t="shared" si="37"/>
        <v>0</v>
      </c>
      <c r="N72" s="66">
        <f t="shared" si="37"/>
        <v>0</v>
      </c>
      <c r="O72" s="66">
        <f t="shared" si="37"/>
        <v>0</v>
      </c>
      <c r="P72" s="66">
        <f t="shared" si="37"/>
        <v>0</v>
      </c>
      <c r="Q72" s="66">
        <f t="shared" si="37"/>
        <v>0</v>
      </c>
      <c r="R72" s="66">
        <f t="shared" si="37"/>
        <v>0</v>
      </c>
      <c r="S72" s="66">
        <f t="shared" si="37"/>
        <v>0</v>
      </c>
      <c r="T72" s="66">
        <f t="shared" si="37"/>
        <v>0</v>
      </c>
      <c r="U72" s="67">
        <f t="shared" si="37"/>
        <v>5578063.9185559964</v>
      </c>
    </row>
    <row r="73" spans="2:21" x14ac:dyDescent="0.25">
      <c r="B73" s="14" t="str">
        <f>"Total Distributions ("&amp;B61&amp;")"</f>
        <v>Total Distributions (Hurdle 2)</v>
      </c>
      <c r="C73" s="15"/>
      <c r="D73" s="15"/>
      <c r="E73" s="15"/>
      <c r="F73" s="66">
        <f t="shared" ref="F73:U73" si="38">IF(F63="","",F71+F72)</f>
        <v>0</v>
      </c>
      <c r="G73" s="66">
        <f t="shared" si="38"/>
        <v>0</v>
      </c>
      <c r="H73" s="66">
        <f t="shared" si="38"/>
        <v>0</v>
      </c>
      <c r="I73" s="66">
        <f t="shared" si="38"/>
        <v>0</v>
      </c>
      <c r="J73" s="66">
        <f t="shared" si="38"/>
        <v>0</v>
      </c>
      <c r="K73" s="66">
        <f t="shared" si="38"/>
        <v>0</v>
      </c>
      <c r="L73" s="66">
        <f t="shared" si="38"/>
        <v>0</v>
      </c>
      <c r="M73" s="66">
        <f t="shared" si="38"/>
        <v>0</v>
      </c>
      <c r="N73" s="66">
        <f t="shared" si="38"/>
        <v>0</v>
      </c>
      <c r="O73" s="66">
        <f t="shared" si="38"/>
        <v>0</v>
      </c>
      <c r="P73" s="66">
        <f t="shared" si="38"/>
        <v>0</v>
      </c>
      <c r="Q73" s="66">
        <f t="shared" si="38"/>
        <v>0</v>
      </c>
      <c r="R73" s="66">
        <f t="shared" si="38"/>
        <v>0</v>
      </c>
      <c r="S73" s="66">
        <f t="shared" si="38"/>
        <v>0</v>
      </c>
      <c r="T73" s="66">
        <f t="shared" si="38"/>
        <v>0</v>
      </c>
      <c r="U73" s="67">
        <f t="shared" si="38"/>
        <v>19921656.851985708</v>
      </c>
    </row>
    <row r="74" spans="2:21" x14ac:dyDescent="0.25">
      <c r="B74" s="14" t="s">
        <v>0</v>
      </c>
      <c r="C74" s="15"/>
      <c r="D74" s="15"/>
      <c r="E74" s="15"/>
      <c r="F74" s="66">
        <f t="shared" ref="F74:U74" si="39">IF(F63="","",MAX(F$36-F58-F73,0))</f>
        <v>0</v>
      </c>
      <c r="G74" s="66">
        <f t="shared" si="39"/>
        <v>0</v>
      </c>
      <c r="H74" s="66">
        <f t="shared" si="39"/>
        <v>0</v>
      </c>
      <c r="I74" s="66">
        <f t="shared" si="39"/>
        <v>0</v>
      </c>
      <c r="J74" s="66">
        <f t="shared" si="39"/>
        <v>0</v>
      </c>
      <c r="K74" s="66">
        <f t="shared" si="39"/>
        <v>0</v>
      </c>
      <c r="L74" s="66">
        <f t="shared" si="39"/>
        <v>0</v>
      </c>
      <c r="M74" s="66">
        <f t="shared" si="39"/>
        <v>0</v>
      </c>
      <c r="N74" s="66">
        <f t="shared" si="39"/>
        <v>0</v>
      </c>
      <c r="O74" s="66">
        <f t="shared" si="39"/>
        <v>0</v>
      </c>
      <c r="P74" s="66">
        <f t="shared" si="39"/>
        <v>0</v>
      </c>
      <c r="Q74" s="66">
        <f t="shared" si="39"/>
        <v>0</v>
      </c>
      <c r="R74" s="66">
        <f t="shared" si="39"/>
        <v>0</v>
      </c>
      <c r="S74" s="66">
        <f t="shared" si="39"/>
        <v>0</v>
      </c>
      <c r="T74" s="66">
        <f t="shared" si="39"/>
        <v>0</v>
      </c>
      <c r="U74" s="67">
        <f t="shared" si="39"/>
        <v>30422078.234306306</v>
      </c>
    </row>
    <row r="75" spans="2:21" ht="5.0999999999999996" customHeight="1" x14ac:dyDescent="0.25">
      <c r="B75" s="14"/>
      <c r="C75" s="15"/>
      <c r="D75" s="15"/>
      <c r="E75" s="15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58"/>
    </row>
    <row r="76" spans="2:21" ht="15.75" x14ac:dyDescent="0.25">
      <c r="B76" s="38" t="s">
        <v>9</v>
      </c>
      <c r="C76" s="15"/>
      <c r="D76" s="15"/>
      <c r="E76" s="15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58"/>
    </row>
    <row r="77" spans="2:21" x14ac:dyDescent="0.25">
      <c r="B77" s="79" t="s">
        <v>43</v>
      </c>
      <c r="C77" s="80">
        <f>E16</f>
        <v>0.15</v>
      </c>
      <c r="D77" s="6"/>
      <c r="E77" s="6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65"/>
    </row>
    <row r="78" spans="2:21" x14ac:dyDescent="0.25">
      <c r="B78" s="14" t="s">
        <v>8</v>
      </c>
      <c r="C78" s="15"/>
      <c r="D78" s="15"/>
      <c r="E78" s="15"/>
      <c r="F78" s="66">
        <f t="shared" ref="F78:U78" si="40">IF(F55="","",E83)</f>
        <v>0</v>
      </c>
      <c r="G78" s="66">
        <f t="shared" si="40"/>
        <v>10822574.34613899</v>
      </c>
      <c r="H78" s="66">
        <f t="shared" si="40"/>
        <v>11356879.434138237</v>
      </c>
      <c r="I78" s="66">
        <f t="shared" si="40"/>
        <v>11928133.34405894</v>
      </c>
      <c r="J78" s="66">
        <f t="shared" si="40"/>
        <v>12847427.41636375</v>
      </c>
      <c r="K78" s="66">
        <f t="shared" si="40"/>
        <v>13859673.5018082</v>
      </c>
      <c r="L78" s="66">
        <f t="shared" si="40"/>
        <v>14977915.560409114</v>
      </c>
      <c r="M78" s="66">
        <f t="shared" si="40"/>
        <v>16217136.169346757</v>
      </c>
      <c r="N78" s="66">
        <f t="shared" si="40"/>
        <v>17594546.956002578</v>
      </c>
      <c r="O78" s="66">
        <f t="shared" si="40"/>
        <v>19129922.588761847</v>
      </c>
      <c r="P78" s="66">
        <f t="shared" si="40"/>
        <v>20845984.859102182</v>
      </c>
      <c r="Q78" s="66">
        <f t="shared" si="40"/>
        <v>22768844.368514087</v>
      </c>
      <c r="R78" s="66">
        <f t="shared" si="40"/>
        <v>24928508.46082871</v>
      </c>
      <c r="S78" s="66">
        <f t="shared" si="40"/>
        <v>27359465.336611278</v>
      </c>
      <c r="T78" s="66">
        <f t="shared" si="40"/>
        <v>30101355.776774395</v>
      </c>
      <c r="U78" s="67">
        <f t="shared" si="40"/>
        <v>33199745.616635412</v>
      </c>
    </row>
    <row r="79" spans="2:21" x14ac:dyDescent="0.25">
      <c r="B79" s="14" t="s">
        <v>50</v>
      </c>
      <c r="C79" s="15"/>
      <c r="D79" s="15"/>
      <c r="E79" s="15"/>
      <c r="F79" s="66">
        <f>IF(F78="","",IF($D$4="Equity Multiple",E80*$C77-E80,F78*$C77))</f>
        <v>0</v>
      </c>
      <c r="G79" s="66">
        <f t="shared" ref="G79" si="41">IF(G78="","",IF($D$4="Equity Multiple",F80*$C77-F80,G78*$C77))</f>
        <v>1623386.1519208483</v>
      </c>
      <c r="H79" s="66">
        <f t="shared" ref="H79" si="42">IF(H78="","",IF($D$4="Equity Multiple",G80*$C77-G80,H78*$C77))</f>
        <v>1703531.9151207355</v>
      </c>
      <c r="I79" s="66">
        <f t="shared" ref="I79" si="43">IF(I78="","",IF($D$4="Equity Multiple",H80*$C77-H80,I78*$C77))</f>
        <v>1789220.0016088409</v>
      </c>
      <c r="J79" s="66">
        <f t="shared" ref="J79" si="44">IF(J78="","",IF($D$4="Equity Multiple",I80*$C77-I80,J78*$C77))</f>
        <v>1927114.1124545624</v>
      </c>
      <c r="K79" s="66">
        <f t="shared" ref="K79" si="45">IF(K78="","",IF($D$4="Equity Multiple",J80*$C77-J80,K78*$C77))</f>
        <v>2078951.0252712299</v>
      </c>
      <c r="L79" s="66">
        <f t="shared" ref="L79" si="46">IF(L78="","",IF($D$4="Equity Multiple",K80*$C77-K80,L78*$C77))</f>
        <v>2246687.334061367</v>
      </c>
      <c r="M79" s="66">
        <f t="shared" ref="M79" si="47">IF(M78="","",IF($D$4="Equity Multiple",L80*$C77-L80,M78*$C77))</f>
        <v>2432570.4254020136</v>
      </c>
      <c r="N79" s="66">
        <f t="shared" ref="N79" si="48">IF(N78="","",IF($D$4="Equity Multiple",M80*$C77-M80,N78*$C77))</f>
        <v>2639182.0434003868</v>
      </c>
      <c r="O79" s="66">
        <f t="shared" ref="O79" si="49">IF(O78="","",IF($D$4="Equity Multiple",N80*$C77-N80,O78*$C77))</f>
        <v>2869488.3883142769</v>
      </c>
      <c r="P79" s="66">
        <f t="shared" ref="P79" si="50">IF(P78="","",IF($D$4="Equity Multiple",O80*$C77-O80,P78*$C77))</f>
        <v>3126897.7288653273</v>
      </c>
      <c r="Q79" s="66">
        <f t="shared" ref="Q79" si="51">IF(Q78="","",IF($D$4="Equity Multiple",P80*$C77-P80,Q78*$C77))</f>
        <v>3415326.655277113</v>
      </c>
      <c r="R79" s="66">
        <f t="shared" ref="R79" si="52">IF(R78="","",IF($D$4="Equity Multiple",Q80*$C77-Q80,R78*$C77))</f>
        <v>3739276.2691243063</v>
      </c>
      <c r="S79" s="66">
        <f t="shared" ref="S79" si="53">IF(S78="","",IF($D$4="Equity Multiple",R80*$C77-R80,S78*$C77))</f>
        <v>4103919.8004916916</v>
      </c>
      <c r="T79" s="66">
        <f t="shared" ref="T79" si="54">IF(T78="","",IF($D$4="Equity Multiple",S80*$C77-S80,T78*$C77))</f>
        <v>4515203.3665161589</v>
      </c>
      <c r="U79" s="67">
        <f t="shared" ref="U79" si="55">IF(U78="","",IF($D$4="Equity Multiple",T80*$C77-T80,U78*$C77))</f>
        <v>4979961.842495312</v>
      </c>
    </row>
    <row r="80" spans="2:21" x14ac:dyDescent="0.25">
      <c r="B80" s="14" t="s">
        <v>7</v>
      </c>
      <c r="C80" s="15"/>
      <c r="D80" s="15"/>
      <c r="E80" s="15"/>
      <c r="F80" s="66">
        <f t="shared" ref="F80:U80" si="56">IF(F78="","",-MIN(0,F$36*Equity_Share_LP))</f>
        <v>10822574.34613899</v>
      </c>
      <c r="G80" s="66">
        <f t="shared" si="56"/>
        <v>0</v>
      </c>
      <c r="H80" s="66">
        <f t="shared" si="56"/>
        <v>0</v>
      </c>
      <c r="I80" s="66">
        <f t="shared" si="56"/>
        <v>0</v>
      </c>
      <c r="J80" s="66">
        <f t="shared" si="56"/>
        <v>0</v>
      </c>
      <c r="K80" s="66">
        <f t="shared" si="56"/>
        <v>0</v>
      </c>
      <c r="L80" s="66">
        <f t="shared" si="56"/>
        <v>0</v>
      </c>
      <c r="M80" s="66">
        <f t="shared" si="56"/>
        <v>0</v>
      </c>
      <c r="N80" s="66">
        <f t="shared" si="56"/>
        <v>0</v>
      </c>
      <c r="O80" s="66">
        <f t="shared" si="56"/>
        <v>0</v>
      </c>
      <c r="P80" s="66">
        <f t="shared" si="56"/>
        <v>0</v>
      </c>
      <c r="Q80" s="66">
        <f t="shared" si="56"/>
        <v>0</v>
      </c>
      <c r="R80" s="66">
        <f t="shared" si="56"/>
        <v>0</v>
      </c>
      <c r="S80" s="66">
        <f t="shared" si="56"/>
        <v>0</v>
      </c>
      <c r="T80" s="66">
        <f t="shared" si="56"/>
        <v>0</v>
      </c>
      <c r="U80" s="67">
        <f t="shared" si="56"/>
        <v>0</v>
      </c>
    </row>
    <row r="81" spans="2:21" x14ac:dyDescent="0.25">
      <c r="B81" s="14" t="s">
        <v>6</v>
      </c>
      <c r="C81" s="15"/>
      <c r="D81" s="15"/>
      <c r="E81" s="15"/>
      <c r="F81" s="66">
        <f t="shared" ref="F81:U81" si="57">IF(F78="","",F71+F49)</f>
        <v>0</v>
      </c>
      <c r="G81" s="66">
        <f t="shared" si="57"/>
        <v>1089081.0639216003</v>
      </c>
      <c r="H81" s="66">
        <f t="shared" si="57"/>
        <v>1132278.0052000326</v>
      </c>
      <c r="I81" s="66">
        <f t="shared" si="57"/>
        <v>869925.929304032</v>
      </c>
      <c r="J81" s="66">
        <f t="shared" si="57"/>
        <v>914868.02701011277</v>
      </c>
      <c r="K81" s="66">
        <f t="shared" si="57"/>
        <v>960708.96667031536</v>
      </c>
      <c r="L81" s="66">
        <f t="shared" si="57"/>
        <v>1007466.7251237215</v>
      </c>
      <c r="M81" s="66">
        <f t="shared" si="57"/>
        <v>1055159.6387461962</v>
      </c>
      <c r="N81" s="66">
        <f t="shared" si="57"/>
        <v>1103806.4106411191</v>
      </c>
      <c r="O81" s="66">
        <f t="shared" si="57"/>
        <v>1153426.1179739421</v>
      </c>
      <c r="P81" s="66">
        <f t="shared" si="57"/>
        <v>1204038.2194534212</v>
      </c>
      <c r="Q81" s="66">
        <f t="shared" si="57"/>
        <v>1255662.5629624894</v>
      </c>
      <c r="R81" s="66">
        <f t="shared" si="57"/>
        <v>1308319.393341739</v>
      </c>
      <c r="S81" s="66">
        <f t="shared" si="57"/>
        <v>1362029.360328574</v>
      </c>
      <c r="T81" s="66">
        <f t="shared" si="57"/>
        <v>1416813.5266551452</v>
      </c>
      <c r="U81" s="67">
        <f t="shared" si="57"/>
        <v>20065147.362459034</v>
      </c>
    </row>
    <row r="82" spans="2:21" x14ac:dyDescent="0.25">
      <c r="B82" s="14" t="str">
        <f>"Distributions to LP "&amp;B76</f>
        <v>Distributions to LP Hurdle 3</v>
      </c>
      <c r="C82" s="15"/>
      <c r="D82" s="15"/>
      <c r="E82" s="15"/>
      <c r="F82" s="66">
        <f t="shared" ref="F82:U82" si="58">IF(F78="","",MIN(F78+F79-F81,F74*$I$16))</f>
        <v>0</v>
      </c>
      <c r="G82" s="66">
        <f t="shared" si="58"/>
        <v>0</v>
      </c>
      <c r="H82" s="66">
        <f t="shared" si="58"/>
        <v>0</v>
      </c>
      <c r="I82" s="66">
        <f t="shared" si="58"/>
        <v>0</v>
      </c>
      <c r="J82" s="66">
        <f t="shared" si="58"/>
        <v>0</v>
      </c>
      <c r="K82" s="66">
        <f t="shared" si="58"/>
        <v>0</v>
      </c>
      <c r="L82" s="66">
        <f t="shared" si="58"/>
        <v>0</v>
      </c>
      <c r="M82" s="66">
        <f t="shared" si="58"/>
        <v>0</v>
      </c>
      <c r="N82" s="66">
        <f t="shared" si="58"/>
        <v>0</v>
      </c>
      <c r="O82" s="66">
        <f t="shared" si="58"/>
        <v>0</v>
      </c>
      <c r="P82" s="66">
        <f t="shared" si="58"/>
        <v>0</v>
      </c>
      <c r="Q82" s="66">
        <f t="shared" si="58"/>
        <v>0</v>
      </c>
      <c r="R82" s="66">
        <f t="shared" si="58"/>
        <v>0</v>
      </c>
      <c r="S82" s="66">
        <f t="shared" si="58"/>
        <v>0</v>
      </c>
      <c r="T82" s="66">
        <f t="shared" si="58"/>
        <v>0</v>
      </c>
      <c r="U82" s="67">
        <f t="shared" si="58"/>
        <v>18114560.096671693</v>
      </c>
    </row>
    <row r="83" spans="2:21" x14ac:dyDescent="0.25">
      <c r="B83" s="14" t="s">
        <v>5</v>
      </c>
      <c r="C83" s="15"/>
      <c r="D83" s="15"/>
      <c r="E83" s="15"/>
      <c r="F83" s="66">
        <f>F78+F80-F82</f>
        <v>10822574.34613899</v>
      </c>
      <c r="G83" s="66">
        <f t="shared" ref="G83:U83" si="59">IF(G78="","",G78+G79+G80-G81-G82)</f>
        <v>11356879.434138237</v>
      </c>
      <c r="H83" s="66">
        <f t="shared" si="59"/>
        <v>11928133.34405894</v>
      </c>
      <c r="I83" s="66">
        <f t="shared" si="59"/>
        <v>12847427.41636375</v>
      </c>
      <c r="J83" s="66">
        <f t="shared" si="59"/>
        <v>13859673.5018082</v>
      </c>
      <c r="K83" s="66">
        <f t="shared" si="59"/>
        <v>14977915.560409114</v>
      </c>
      <c r="L83" s="66">
        <f t="shared" si="59"/>
        <v>16217136.169346757</v>
      </c>
      <c r="M83" s="66">
        <f t="shared" si="59"/>
        <v>17594546.956002578</v>
      </c>
      <c r="N83" s="66">
        <f t="shared" si="59"/>
        <v>19129922.588761847</v>
      </c>
      <c r="O83" s="66">
        <f t="shared" si="59"/>
        <v>20845984.859102182</v>
      </c>
      <c r="P83" s="66">
        <f t="shared" si="59"/>
        <v>22768844.368514087</v>
      </c>
      <c r="Q83" s="66">
        <f t="shared" si="59"/>
        <v>24928508.46082871</v>
      </c>
      <c r="R83" s="66">
        <f t="shared" si="59"/>
        <v>27359465.336611278</v>
      </c>
      <c r="S83" s="66">
        <f t="shared" si="59"/>
        <v>30101355.776774395</v>
      </c>
      <c r="T83" s="66">
        <f t="shared" si="59"/>
        <v>33199745.616635412</v>
      </c>
      <c r="U83" s="67">
        <f t="shared" si="59"/>
        <v>0</v>
      </c>
    </row>
    <row r="84" spans="2:21" x14ac:dyDescent="0.25">
      <c r="B84" s="72">
        <f>C77</f>
        <v>0.15</v>
      </c>
      <c r="C84" s="15"/>
      <c r="D84" s="15"/>
      <c r="E84" s="88">
        <f>IF($D$4="IRR",IRR(F84:U84),SUMIF(F84:U84,"&gt;0")/-SUMIF(F84:U84,"&lt;0"))</f>
        <v>0.14999999999999991</v>
      </c>
      <c r="F84" s="66">
        <f>IF(F78="","",-F80+F82)</f>
        <v>-10822574.34613899</v>
      </c>
      <c r="G84" s="66">
        <f t="shared" ref="G84:U84" si="60">IF(G78="","",-G80+G81+G82)</f>
        <v>1089081.0639216003</v>
      </c>
      <c r="H84" s="66">
        <f t="shared" si="60"/>
        <v>1132278.0052000326</v>
      </c>
      <c r="I84" s="66">
        <f t="shared" si="60"/>
        <v>869925.929304032</v>
      </c>
      <c r="J84" s="66">
        <f t="shared" si="60"/>
        <v>914868.02701011277</v>
      </c>
      <c r="K84" s="66">
        <f t="shared" si="60"/>
        <v>960708.96667031536</v>
      </c>
      <c r="L84" s="66">
        <f t="shared" si="60"/>
        <v>1007466.7251237215</v>
      </c>
      <c r="M84" s="66">
        <f t="shared" si="60"/>
        <v>1055159.6387461962</v>
      </c>
      <c r="N84" s="66">
        <f t="shared" si="60"/>
        <v>1103806.4106411191</v>
      </c>
      <c r="O84" s="66">
        <f t="shared" si="60"/>
        <v>1153426.1179739421</v>
      </c>
      <c r="P84" s="66">
        <f t="shared" si="60"/>
        <v>1204038.2194534212</v>
      </c>
      <c r="Q84" s="66">
        <f t="shared" si="60"/>
        <v>1255662.5629624894</v>
      </c>
      <c r="R84" s="66">
        <f t="shared" si="60"/>
        <v>1308319.393341739</v>
      </c>
      <c r="S84" s="66">
        <f t="shared" si="60"/>
        <v>1362029.360328574</v>
      </c>
      <c r="T84" s="66">
        <f t="shared" si="60"/>
        <v>1416813.5266551452</v>
      </c>
      <c r="U84" s="67">
        <f t="shared" si="60"/>
        <v>38179707.459130727</v>
      </c>
    </row>
    <row r="85" spans="2:21" ht="5.0999999999999996" customHeight="1" x14ac:dyDescent="0.25">
      <c r="B85" s="39" t="s">
        <v>4</v>
      </c>
      <c r="C85" s="40" t="s">
        <v>4</v>
      </c>
      <c r="D85" s="40" t="s">
        <v>4</v>
      </c>
      <c r="E85" s="40" t="s">
        <v>4</v>
      </c>
      <c r="F85" s="68" t="str">
        <f t="shared" ref="F85:U85" si="61">IF(F78="","",".")</f>
        <v>.</v>
      </c>
      <c r="G85" s="68" t="str">
        <f t="shared" si="61"/>
        <v>.</v>
      </c>
      <c r="H85" s="68" t="str">
        <f t="shared" si="61"/>
        <v>.</v>
      </c>
      <c r="I85" s="68" t="str">
        <f t="shared" si="61"/>
        <v>.</v>
      </c>
      <c r="J85" s="68" t="str">
        <f t="shared" si="61"/>
        <v>.</v>
      </c>
      <c r="K85" s="68" t="str">
        <f t="shared" si="61"/>
        <v>.</v>
      </c>
      <c r="L85" s="68" t="str">
        <f t="shared" si="61"/>
        <v>.</v>
      </c>
      <c r="M85" s="68" t="str">
        <f t="shared" si="61"/>
        <v>.</v>
      </c>
      <c r="N85" s="68" t="str">
        <f t="shared" si="61"/>
        <v>.</v>
      </c>
      <c r="O85" s="68" t="str">
        <f t="shared" si="61"/>
        <v>.</v>
      </c>
      <c r="P85" s="68" t="str">
        <f t="shared" si="61"/>
        <v>.</v>
      </c>
      <c r="Q85" s="68" t="str">
        <f t="shared" si="61"/>
        <v>.</v>
      </c>
      <c r="R85" s="68" t="str">
        <f t="shared" si="61"/>
        <v>.</v>
      </c>
      <c r="S85" s="68" t="str">
        <f t="shared" si="61"/>
        <v>.</v>
      </c>
      <c r="T85" s="68" t="str">
        <f t="shared" si="61"/>
        <v>.</v>
      </c>
      <c r="U85" s="69" t="str">
        <f t="shared" si="61"/>
        <v>.</v>
      </c>
    </row>
    <row r="86" spans="2:21" x14ac:dyDescent="0.25">
      <c r="B86" s="14" t="s">
        <v>2</v>
      </c>
      <c r="C86" s="15"/>
      <c r="D86" s="15"/>
      <c r="E86" s="15"/>
      <c r="F86" s="66">
        <f t="shared" ref="F86:U86" si="62">IF(F78="","",F82)</f>
        <v>0</v>
      </c>
      <c r="G86" s="66">
        <f t="shared" si="62"/>
        <v>0</v>
      </c>
      <c r="H86" s="66">
        <f t="shared" si="62"/>
        <v>0</v>
      </c>
      <c r="I86" s="66">
        <f t="shared" si="62"/>
        <v>0</v>
      </c>
      <c r="J86" s="66">
        <f t="shared" si="62"/>
        <v>0</v>
      </c>
      <c r="K86" s="66">
        <f t="shared" si="62"/>
        <v>0</v>
      </c>
      <c r="L86" s="66">
        <f t="shared" si="62"/>
        <v>0</v>
      </c>
      <c r="M86" s="66">
        <f t="shared" si="62"/>
        <v>0</v>
      </c>
      <c r="N86" s="66">
        <f t="shared" si="62"/>
        <v>0</v>
      </c>
      <c r="O86" s="66">
        <f t="shared" si="62"/>
        <v>0</v>
      </c>
      <c r="P86" s="66">
        <f t="shared" si="62"/>
        <v>0</v>
      </c>
      <c r="Q86" s="66">
        <f t="shared" si="62"/>
        <v>0</v>
      </c>
      <c r="R86" s="66">
        <f t="shared" si="62"/>
        <v>0</v>
      </c>
      <c r="S86" s="66">
        <f t="shared" si="62"/>
        <v>0</v>
      </c>
      <c r="T86" s="66">
        <f t="shared" si="62"/>
        <v>0</v>
      </c>
      <c r="U86" s="67">
        <f t="shared" si="62"/>
        <v>18114560.096671693</v>
      </c>
    </row>
    <row r="87" spans="2:21" x14ac:dyDescent="0.25">
      <c r="B87" s="14" t="s">
        <v>1</v>
      </c>
      <c r="C87" s="15"/>
      <c r="D87" s="15"/>
      <c r="E87" s="15"/>
      <c r="F87" s="66">
        <f t="shared" ref="F87:U87" si="63">IF(F78="","",F86/VLOOKUP($B76,Promote_Structure,8,FALSE)*VLOOKUP($B76,Promote_Structure,7,FALSE))</f>
        <v>0</v>
      </c>
      <c r="G87" s="66">
        <f t="shared" si="63"/>
        <v>0</v>
      </c>
      <c r="H87" s="66">
        <f t="shared" si="63"/>
        <v>0</v>
      </c>
      <c r="I87" s="66">
        <f t="shared" si="63"/>
        <v>0</v>
      </c>
      <c r="J87" s="66">
        <f t="shared" si="63"/>
        <v>0</v>
      </c>
      <c r="K87" s="66">
        <f t="shared" si="63"/>
        <v>0</v>
      </c>
      <c r="L87" s="66">
        <f t="shared" si="63"/>
        <v>0</v>
      </c>
      <c r="M87" s="66">
        <f t="shared" si="63"/>
        <v>0</v>
      </c>
      <c r="N87" s="66">
        <f t="shared" si="63"/>
        <v>0</v>
      </c>
      <c r="O87" s="66">
        <f t="shared" si="63"/>
        <v>0</v>
      </c>
      <c r="P87" s="66">
        <f t="shared" si="63"/>
        <v>0</v>
      </c>
      <c r="Q87" s="66">
        <f t="shared" si="63"/>
        <v>0</v>
      </c>
      <c r="R87" s="66">
        <f t="shared" si="63"/>
        <v>0</v>
      </c>
      <c r="S87" s="66">
        <f t="shared" si="63"/>
        <v>0</v>
      </c>
      <c r="T87" s="66">
        <f t="shared" si="63"/>
        <v>0</v>
      </c>
      <c r="U87" s="67">
        <f t="shared" si="63"/>
        <v>10638709.898045279</v>
      </c>
    </row>
    <row r="88" spans="2:21" x14ac:dyDescent="0.25">
      <c r="B88" s="14" t="str">
        <f>"Total Distributions ("&amp;B76&amp;")"</f>
        <v>Total Distributions (Hurdle 3)</v>
      </c>
      <c r="C88" s="15"/>
      <c r="D88" s="15"/>
      <c r="E88" s="15"/>
      <c r="F88" s="66">
        <f t="shared" ref="F88:U88" si="64">IF(F78="","",F86+F87)</f>
        <v>0</v>
      </c>
      <c r="G88" s="66">
        <f t="shared" si="64"/>
        <v>0</v>
      </c>
      <c r="H88" s="66">
        <f t="shared" si="64"/>
        <v>0</v>
      </c>
      <c r="I88" s="66">
        <f t="shared" si="64"/>
        <v>0</v>
      </c>
      <c r="J88" s="66">
        <f t="shared" si="64"/>
        <v>0</v>
      </c>
      <c r="K88" s="66">
        <f t="shared" si="64"/>
        <v>0</v>
      </c>
      <c r="L88" s="66">
        <f t="shared" si="64"/>
        <v>0</v>
      </c>
      <c r="M88" s="66">
        <f t="shared" si="64"/>
        <v>0</v>
      </c>
      <c r="N88" s="66">
        <f t="shared" si="64"/>
        <v>0</v>
      </c>
      <c r="O88" s="66">
        <f t="shared" si="64"/>
        <v>0</v>
      </c>
      <c r="P88" s="66">
        <f t="shared" si="64"/>
        <v>0</v>
      </c>
      <c r="Q88" s="66">
        <f t="shared" si="64"/>
        <v>0</v>
      </c>
      <c r="R88" s="66">
        <f t="shared" si="64"/>
        <v>0</v>
      </c>
      <c r="S88" s="66">
        <f t="shared" si="64"/>
        <v>0</v>
      </c>
      <c r="T88" s="66">
        <f t="shared" si="64"/>
        <v>0</v>
      </c>
      <c r="U88" s="67">
        <f t="shared" si="64"/>
        <v>28753269.994716972</v>
      </c>
    </row>
    <row r="89" spans="2:21" x14ac:dyDescent="0.25">
      <c r="B89" s="14" t="s">
        <v>0</v>
      </c>
      <c r="C89" s="15"/>
      <c r="D89" s="15"/>
      <c r="E89" s="15"/>
      <c r="F89" s="66">
        <f t="shared" ref="F89:U89" si="65">IF(F78="","",MAX(F$36-F58-F73-F88,0))</f>
        <v>0</v>
      </c>
      <c r="G89" s="66">
        <f t="shared" si="65"/>
        <v>0</v>
      </c>
      <c r="H89" s="66">
        <f t="shared" si="65"/>
        <v>0</v>
      </c>
      <c r="I89" s="66">
        <f t="shared" si="65"/>
        <v>0</v>
      </c>
      <c r="J89" s="66">
        <f t="shared" si="65"/>
        <v>0</v>
      </c>
      <c r="K89" s="66">
        <f t="shared" si="65"/>
        <v>0</v>
      </c>
      <c r="L89" s="66">
        <f t="shared" si="65"/>
        <v>0</v>
      </c>
      <c r="M89" s="66">
        <f t="shared" si="65"/>
        <v>0</v>
      </c>
      <c r="N89" s="66">
        <f t="shared" si="65"/>
        <v>0</v>
      </c>
      <c r="O89" s="66">
        <f t="shared" si="65"/>
        <v>0</v>
      </c>
      <c r="P89" s="66">
        <f t="shared" si="65"/>
        <v>0</v>
      </c>
      <c r="Q89" s="66">
        <f t="shared" si="65"/>
        <v>0</v>
      </c>
      <c r="R89" s="66">
        <f t="shared" si="65"/>
        <v>0</v>
      </c>
      <c r="S89" s="66">
        <f t="shared" si="65"/>
        <v>0</v>
      </c>
      <c r="T89" s="66">
        <f t="shared" si="65"/>
        <v>0</v>
      </c>
      <c r="U89" s="67">
        <f t="shared" si="65"/>
        <v>1668808.2395893335</v>
      </c>
    </row>
    <row r="90" spans="2:21" ht="5.0999999999999996" customHeight="1" x14ac:dyDescent="0.25">
      <c r="B90" s="14"/>
      <c r="C90" s="15"/>
      <c r="D90" s="15"/>
      <c r="E90" s="15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58"/>
    </row>
    <row r="91" spans="2:21" ht="15.75" x14ac:dyDescent="0.25">
      <c r="B91" s="38" t="s">
        <v>3</v>
      </c>
      <c r="C91" s="15"/>
      <c r="D91" s="15"/>
      <c r="E91" s="15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58"/>
    </row>
    <row r="92" spans="2:21" x14ac:dyDescent="0.25">
      <c r="B92" s="79" t="s">
        <v>44</v>
      </c>
      <c r="C92" s="80">
        <f>C77</f>
        <v>0.15</v>
      </c>
      <c r="D92" s="6"/>
      <c r="E92" s="6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65"/>
    </row>
    <row r="93" spans="2:21" x14ac:dyDescent="0.25">
      <c r="B93" s="14" t="s">
        <v>2</v>
      </c>
      <c r="C93" s="15"/>
      <c r="D93" s="15"/>
      <c r="E93" s="15"/>
      <c r="F93" s="66">
        <f t="shared" ref="F93:U93" si="66">IF(F78="","",F89*$I$17)</f>
        <v>0</v>
      </c>
      <c r="G93" s="66">
        <f t="shared" si="66"/>
        <v>0</v>
      </c>
      <c r="H93" s="66">
        <f t="shared" si="66"/>
        <v>0</v>
      </c>
      <c r="I93" s="66">
        <f t="shared" si="66"/>
        <v>0</v>
      </c>
      <c r="J93" s="66">
        <f t="shared" si="66"/>
        <v>0</v>
      </c>
      <c r="K93" s="66">
        <f t="shared" si="66"/>
        <v>0</v>
      </c>
      <c r="L93" s="66">
        <f t="shared" si="66"/>
        <v>0</v>
      </c>
      <c r="M93" s="66">
        <f t="shared" si="66"/>
        <v>0</v>
      </c>
      <c r="N93" s="66">
        <f t="shared" si="66"/>
        <v>0</v>
      </c>
      <c r="O93" s="66">
        <f t="shared" si="66"/>
        <v>0</v>
      </c>
      <c r="P93" s="66">
        <f t="shared" si="66"/>
        <v>0</v>
      </c>
      <c r="Q93" s="66">
        <f t="shared" si="66"/>
        <v>0</v>
      </c>
      <c r="R93" s="66">
        <f t="shared" si="66"/>
        <v>0</v>
      </c>
      <c r="S93" s="66">
        <f t="shared" si="66"/>
        <v>0</v>
      </c>
      <c r="T93" s="66">
        <f t="shared" si="66"/>
        <v>0</v>
      </c>
      <c r="U93" s="67">
        <f t="shared" si="66"/>
        <v>901156.44937824016</v>
      </c>
    </row>
    <row r="94" spans="2:21" x14ac:dyDescent="0.25">
      <c r="B94" s="14" t="s">
        <v>1</v>
      </c>
      <c r="C94" s="15"/>
      <c r="D94" s="15"/>
      <c r="E94" s="15"/>
      <c r="F94" s="66">
        <f t="shared" ref="F94:U94" si="67">IF(F93="","",F89-F93)</f>
        <v>0</v>
      </c>
      <c r="G94" s="66">
        <f t="shared" si="67"/>
        <v>0</v>
      </c>
      <c r="H94" s="66">
        <f t="shared" si="67"/>
        <v>0</v>
      </c>
      <c r="I94" s="66">
        <f t="shared" si="67"/>
        <v>0</v>
      </c>
      <c r="J94" s="66">
        <f t="shared" si="67"/>
        <v>0</v>
      </c>
      <c r="K94" s="66">
        <f t="shared" si="67"/>
        <v>0</v>
      </c>
      <c r="L94" s="66">
        <f t="shared" si="67"/>
        <v>0</v>
      </c>
      <c r="M94" s="66">
        <f t="shared" si="67"/>
        <v>0</v>
      </c>
      <c r="N94" s="66">
        <f t="shared" si="67"/>
        <v>0</v>
      </c>
      <c r="O94" s="66">
        <f t="shared" si="67"/>
        <v>0</v>
      </c>
      <c r="P94" s="66">
        <f t="shared" si="67"/>
        <v>0</v>
      </c>
      <c r="Q94" s="66">
        <f t="shared" si="67"/>
        <v>0</v>
      </c>
      <c r="R94" s="66">
        <f t="shared" si="67"/>
        <v>0</v>
      </c>
      <c r="S94" s="66">
        <f t="shared" si="67"/>
        <v>0</v>
      </c>
      <c r="T94" s="66">
        <f t="shared" si="67"/>
        <v>0</v>
      </c>
      <c r="U94" s="67">
        <f t="shared" si="67"/>
        <v>767651.79021109338</v>
      </c>
    </row>
    <row r="95" spans="2:21" x14ac:dyDescent="0.25">
      <c r="B95" s="14" t="str">
        <f>"Total Distributions ("&amp;B91&amp;")"</f>
        <v>Total Distributions (Hurdle 4)</v>
      </c>
      <c r="C95" s="15"/>
      <c r="D95" s="15"/>
      <c r="E95" s="15"/>
      <c r="F95" s="66">
        <f t="shared" ref="F95:U95" si="68">IF(F93="","",F93+F94)</f>
        <v>0</v>
      </c>
      <c r="G95" s="66">
        <f t="shared" si="68"/>
        <v>0</v>
      </c>
      <c r="H95" s="66">
        <f t="shared" si="68"/>
        <v>0</v>
      </c>
      <c r="I95" s="66">
        <f t="shared" si="68"/>
        <v>0</v>
      </c>
      <c r="J95" s="66">
        <f t="shared" si="68"/>
        <v>0</v>
      </c>
      <c r="K95" s="66">
        <f t="shared" si="68"/>
        <v>0</v>
      </c>
      <c r="L95" s="66">
        <f t="shared" si="68"/>
        <v>0</v>
      </c>
      <c r="M95" s="66">
        <f t="shared" si="68"/>
        <v>0</v>
      </c>
      <c r="N95" s="66">
        <f t="shared" si="68"/>
        <v>0</v>
      </c>
      <c r="O95" s="66">
        <f t="shared" si="68"/>
        <v>0</v>
      </c>
      <c r="P95" s="66">
        <f t="shared" si="68"/>
        <v>0</v>
      </c>
      <c r="Q95" s="66">
        <f t="shared" si="68"/>
        <v>0</v>
      </c>
      <c r="R95" s="66">
        <f t="shared" si="68"/>
        <v>0</v>
      </c>
      <c r="S95" s="66">
        <f t="shared" si="68"/>
        <v>0</v>
      </c>
      <c r="T95" s="66">
        <f t="shared" si="68"/>
        <v>0</v>
      </c>
      <c r="U95" s="67">
        <f t="shared" si="68"/>
        <v>1668808.2395893335</v>
      </c>
    </row>
    <row r="96" spans="2:21" ht="15.75" thickBot="1" x14ac:dyDescent="0.3">
      <c r="B96" s="42" t="s">
        <v>0</v>
      </c>
      <c r="C96" s="43"/>
      <c r="D96" s="43"/>
      <c r="E96" s="43"/>
      <c r="F96" s="70">
        <f t="shared" ref="F96:U96" si="69">IF(F93="","",F89-F95)</f>
        <v>0</v>
      </c>
      <c r="G96" s="70">
        <f t="shared" si="69"/>
        <v>0</v>
      </c>
      <c r="H96" s="70">
        <f t="shared" si="69"/>
        <v>0</v>
      </c>
      <c r="I96" s="70">
        <f t="shared" si="69"/>
        <v>0</v>
      </c>
      <c r="J96" s="70">
        <f t="shared" si="69"/>
        <v>0</v>
      </c>
      <c r="K96" s="70">
        <f t="shared" si="69"/>
        <v>0</v>
      </c>
      <c r="L96" s="70">
        <f t="shared" si="69"/>
        <v>0</v>
      </c>
      <c r="M96" s="70">
        <f t="shared" si="69"/>
        <v>0</v>
      </c>
      <c r="N96" s="70">
        <f t="shared" si="69"/>
        <v>0</v>
      </c>
      <c r="O96" s="70">
        <f t="shared" si="69"/>
        <v>0</v>
      </c>
      <c r="P96" s="70">
        <f t="shared" si="69"/>
        <v>0</v>
      </c>
      <c r="Q96" s="70">
        <f t="shared" si="69"/>
        <v>0</v>
      </c>
      <c r="R96" s="70">
        <f t="shared" si="69"/>
        <v>0</v>
      </c>
      <c r="S96" s="70">
        <f t="shared" si="69"/>
        <v>0</v>
      </c>
      <c r="T96" s="70">
        <f t="shared" si="69"/>
        <v>0</v>
      </c>
      <c r="U96" s="71">
        <f t="shared" si="69"/>
        <v>0</v>
      </c>
    </row>
    <row r="97" ht="15.75" thickTop="1" x14ac:dyDescent="0.25"/>
  </sheetData>
  <sheetProtection selectLockedCells="1"/>
  <mergeCells count="6">
    <mergeCell ref="J17:N17"/>
    <mergeCell ref="H12:I12"/>
    <mergeCell ref="F12:G13"/>
    <mergeCell ref="J14:N14"/>
    <mergeCell ref="J15:N15"/>
    <mergeCell ref="J16:N16"/>
  </mergeCells>
  <conditionalFormatting sqref="L8">
    <cfRule type="expression" dxfId="14" priority="23">
      <formula>$L$8="OK"</formula>
    </cfRule>
  </conditionalFormatting>
  <conditionalFormatting sqref="D14:D17">
    <cfRule type="expression" dxfId="13" priority="22">
      <formula>$D$4="Equity Multiple"</formula>
    </cfRule>
  </conditionalFormatting>
  <conditionalFormatting sqref="E14:E16">
    <cfRule type="expression" dxfId="12" priority="21">
      <formula>$D$4="Equity Multiple"</formula>
    </cfRule>
  </conditionalFormatting>
  <conditionalFormatting sqref="C14:C17">
    <cfRule type="expression" dxfId="11" priority="17">
      <formula>$D$4&lt;&gt;"Equity Multiple"</formula>
    </cfRule>
  </conditionalFormatting>
  <conditionalFormatting sqref="B48">
    <cfRule type="expression" dxfId="10" priority="16">
      <formula>$C$4="Equity Multiple"</formula>
    </cfRule>
  </conditionalFormatting>
  <conditionalFormatting sqref="E48">
    <cfRule type="expression" dxfId="9" priority="15">
      <formula>$C$4="Equity Multiple"</formula>
    </cfRule>
  </conditionalFormatting>
  <conditionalFormatting sqref="B69">
    <cfRule type="expression" dxfId="8" priority="9">
      <formula>$C$4="Equity Multiple"</formula>
    </cfRule>
  </conditionalFormatting>
  <conditionalFormatting sqref="B84">
    <cfRule type="expression" dxfId="7" priority="8">
      <formula>$C$4="Equity Multiple"</formula>
    </cfRule>
  </conditionalFormatting>
  <conditionalFormatting sqref="C41">
    <cfRule type="expression" dxfId="6" priority="7">
      <formula>$C$4="Equity Multiple"</formula>
    </cfRule>
  </conditionalFormatting>
  <conditionalFormatting sqref="C62">
    <cfRule type="expression" dxfId="5" priority="6">
      <formula>$C$4="Equity Multiple"</formula>
    </cfRule>
  </conditionalFormatting>
  <conditionalFormatting sqref="C77">
    <cfRule type="expression" dxfId="4" priority="5">
      <formula>$C$4="Equity Multiple"</formula>
    </cfRule>
  </conditionalFormatting>
  <conditionalFormatting sqref="C92">
    <cfRule type="expression" dxfId="3" priority="4">
      <formula>$C$4="Equity Multiple"</formula>
    </cfRule>
  </conditionalFormatting>
  <conditionalFormatting sqref="F52 F43">
    <cfRule type="expression" dxfId="2" priority="3">
      <formula>F43="Error"</formula>
    </cfRule>
  </conditionalFormatting>
  <conditionalFormatting sqref="E69">
    <cfRule type="expression" dxfId="1" priority="2">
      <formula>$C$4="Equity Multiple"</formula>
    </cfRule>
  </conditionalFormatting>
  <conditionalFormatting sqref="E84">
    <cfRule type="expression" dxfId="0" priority="1">
      <formula>$C$4="Equity Multiple"</formula>
    </cfRule>
  </conditionalFormatting>
  <dataValidations count="2">
    <dataValidation type="list" allowBlank="1" showInputMessage="1" showErrorMessage="1" sqref="D4">
      <formula1>"IRR, Equity Multiple"</formula1>
    </dataValidation>
    <dataValidation type="list" allowBlank="1" showInputMessage="1" showErrorMessage="1" sqref="D5">
      <formula1>"Pari Passu, 1st to Sponsor"</formula1>
    </dataValidation>
  </dataValidations>
  <pageMargins left="0.7" right="0.7" top="0.75" bottom="0.75" header="0.3" footer="0.3"/>
  <pageSetup scale="35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Investor Returns</vt:lpstr>
      <vt:lpstr>Equity_Share_LP</vt:lpstr>
      <vt:lpstr>Equity_Share_Sponsor</vt:lpstr>
      <vt:lpstr>Preferred_Return</vt:lpstr>
      <vt:lpstr>Promote_Structure</vt:lpstr>
      <vt:lpstr>Total_Equity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burton;Spencer Burton</dc:creator>
  <cp:lastModifiedBy>burton</cp:lastModifiedBy>
  <dcterms:created xsi:type="dcterms:W3CDTF">2015-07-19T18:58:00Z</dcterms:created>
  <dcterms:modified xsi:type="dcterms:W3CDTF">2016-05-27T21:36:29Z</dcterms:modified>
</cp:coreProperties>
</file>