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25\Documents\Temporary Work\"/>
    </mc:Choice>
  </mc:AlternateContent>
  <bookViews>
    <workbookView xWindow="0" yWindow="0" windowWidth="28800" windowHeight="12156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U17" i="1"/>
  <c r="U12" i="1"/>
  <c r="G23" i="1" l="1"/>
  <c r="G7" i="1"/>
  <c r="H14" i="1"/>
  <c r="I14" i="1" s="1"/>
  <c r="J14" i="1" s="1"/>
  <c r="K14" i="1" s="1"/>
  <c r="L14" i="1" s="1"/>
  <c r="M14" i="1" s="1"/>
  <c r="N14" i="1" s="1"/>
  <c r="O14" i="1" s="1"/>
  <c r="P14" i="1" s="1"/>
  <c r="H13" i="1"/>
  <c r="I13" i="1" s="1"/>
  <c r="J13" i="1" s="1"/>
  <c r="K13" i="1" s="1"/>
  <c r="L13" i="1" s="1"/>
  <c r="M13" i="1" s="1"/>
  <c r="N13" i="1" s="1"/>
  <c r="O13" i="1" s="1"/>
  <c r="P13" i="1" s="1"/>
  <c r="H12" i="1"/>
  <c r="I12" i="1" s="1"/>
  <c r="H6" i="1"/>
  <c r="I6" i="1" s="1"/>
  <c r="G24" i="1" l="1"/>
  <c r="H23" i="1"/>
  <c r="I7" i="1"/>
  <c r="J12" i="1"/>
  <c r="H7" i="1"/>
  <c r="J6" i="1"/>
  <c r="I23" i="1" l="1"/>
  <c r="H24" i="1"/>
  <c r="K12" i="1"/>
  <c r="J7" i="1"/>
  <c r="K6" i="1"/>
  <c r="J23" i="1" l="1"/>
  <c r="I24" i="1"/>
  <c r="L12" i="1"/>
  <c r="K7" i="1"/>
  <c r="L6" i="1"/>
  <c r="K23" i="1" l="1"/>
  <c r="J24" i="1"/>
  <c r="M12" i="1"/>
  <c r="L7" i="1"/>
  <c r="M6" i="1"/>
  <c r="L23" i="1" l="1"/>
  <c r="K24" i="1"/>
  <c r="N12" i="1"/>
  <c r="M7" i="1"/>
  <c r="N6" i="1"/>
  <c r="M23" i="1" l="1"/>
  <c r="L24" i="1"/>
  <c r="O12" i="1"/>
  <c r="N7" i="1"/>
  <c r="O6" i="1"/>
  <c r="N23" i="1" l="1"/>
  <c r="M24" i="1"/>
  <c r="P12" i="1"/>
  <c r="P7" i="1" s="1"/>
  <c r="O7" i="1"/>
  <c r="P6" i="1"/>
  <c r="O23" i="1" l="1"/>
  <c r="N24" i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G4" i="1"/>
  <c r="H4" i="1" s="1"/>
  <c r="I4" i="1" s="1"/>
  <c r="J4" i="1" s="1"/>
  <c r="K4" i="1" s="1"/>
  <c r="L4" i="1" s="1"/>
  <c r="M4" i="1" s="1"/>
  <c r="N4" i="1" s="1"/>
  <c r="O4" i="1" s="1"/>
  <c r="P4" i="1" s="1"/>
  <c r="G8" i="1"/>
  <c r="G9" i="1" s="1"/>
  <c r="H8" i="1"/>
  <c r="H9" i="1" s="1"/>
  <c r="I8" i="1"/>
  <c r="J8" i="1"/>
  <c r="K8" i="1"/>
  <c r="L8" i="1"/>
  <c r="L9" i="1" s="1"/>
  <c r="M8" i="1"/>
  <c r="M9" i="1" s="1"/>
  <c r="N8" i="1"/>
  <c r="N9" i="1" s="1"/>
  <c r="O8" i="1"/>
  <c r="O9" i="1" s="1"/>
  <c r="P8" i="1"/>
  <c r="P9" i="1" s="1"/>
  <c r="I9" i="1"/>
  <c r="J9" i="1"/>
  <c r="J15" i="1" s="1"/>
  <c r="J16" i="1" s="1"/>
  <c r="K9" i="1"/>
  <c r="P23" i="1" l="1"/>
  <c r="P24" i="1" s="1"/>
  <c r="O24" i="1"/>
  <c r="N15" i="1"/>
  <c r="N16" i="1" s="1"/>
  <c r="N18" i="1"/>
  <c r="I15" i="1"/>
  <c r="I16" i="1" s="1"/>
  <c r="I18" i="1" s="1"/>
  <c r="M15" i="1"/>
  <c r="M16" i="1" s="1"/>
  <c r="M18" i="1" s="1"/>
  <c r="K15" i="1"/>
  <c r="K16" i="1" s="1"/>
  <c r="K18" i="1"/>
  <c r="O15" i="1"/>
  <c r="O16" i="1" s="1"/>
  <c r="O18" i="1" s="1"/>
  <c r="G15" i="1"/>
  <c r="G16" i="1" s="1"/>
  <c r="G18" i="1" s="1"/>
  <c r="P15" i="1"/>
  <c r="P16" i="1" s="1"/>
  <c r="P18" i="1" s="1"/>
  <c r="L15" i="1"/>
  <c r="L16" i="1" s="1"/>
  <c r="L18" i="1" s="1"/>
  <c r="H15" i="1"/>
  <c r="H16" i="1" s="1"/>
  <c r="H18" i="1" s="1"/>
  <c r="J18" i="1"/>
  <c r="O26" i="1" l="1"/>
  <c r="O43" i="1" s="1"/>
  <c r="L26" i="1"/>
  <c r="L43" i="1" s="1"/>
  <c r="M26" i="1"/>
  <c r="M43" i="1" s="1"/>
  <c r="N26" i="1"/>
  <c r="N43" i="1" s="1"/>
  <c r="I26" i="1"/>
  <c r="I43" i="1" s="1"/>
  <c r="J26" i="1"/>
  <c r="J43" i="1" s="1"/>
  <c r="K26" i="1"/>
  <c r="K43" i="1" s="1"/>
  <c r="H26" i="1"/>
  <c r="P26" i="1"/>
  <c r="G26" i="1"/>
  <c r="G43" i="1" l="1"/>
  <c r="H43" i="1"/>
  <c r="H27" i="1"/>
  <c r="P38" i="1"/>
  <c r="P39" i="1" s="1"/>
  <c r="U13" i="1"/>
  <c r="G31" i="1" s="1"/>
  <c r="F43" i="1"/>
  <c r="G27" i="1" s="1"/>
  <c r="U18" i="1"/>
  <c r="F45" i="1" s="1"/>
  <c r="N27" i="1" l="1"/>
  <c r="J27" i="1"/>
  <c r="M27" i="1"/>
  <c r="I27" i="1"/>
  <c r="L27" i="1"/>
  <c r="O27" i="1"/>
  <c r="K27" i="1"/>
  <c r="G29" i="1"/>
  <c r="N29" i="1"/>
  <c r="P40" i="1"/>
  <c r="P41" i="1" s="1"/>
  <c r="J29" i="1"/>
  <c r="K29" i="1"/>
  <c r="P29" i="1"/>
  <c r="O29" i="1"/>
  <c r="I29" i="1"/>
  <c r="H29" i="1"/>
  <c r="M29" i="1"/>
  <c r="L29" i="1"/>
  <c r="P43" i="1"/>
  <c r="F48" i="1" l="1"/>
  <c r="F50" i="1"/>
  <c r="P27" i="1"/>
  <c r="L33" i="1"/>
  <c r="L45" i="1" s="1"/>
  <c r="L30" i="1"/>
  <c r="O33" i="1"/>
  <c r="O45" i="1" s="1"/>
  <c r="O30" i="1"/>
  <c r="F49" i="1"/>
  <c r="M33" i="1"/>
  <c r="M45" i="1" s="1"/>
  <c r="M30" i="1"/>
  <c r="P33" i="1"/>
  <c r="P45" i="1" s="1"/>
  <c r="P30" i="1"/>
  <c r="N33" i="1"/>
  <c r="N45" i="1" s="1"/>
  <c r="N30" i="1"/>
  <c r="H33" i="1"/>
  <c r="H30" i="1"/>
  <c r="K33" i="1"/>
  <c r="K45" i="1" s="1"/>
  <c r="K30" i="1"/>
  <c r="G33" i="1"/>
  <c r="G30" i="1"/>
  <c r="I33" i="1"/>
  <c r="I45" i="1" s="1"/>
  <c r="I30" i="1"/>
  <c r="J33" i="1"/>
  <c r="J45" i="1" s="1"/>
  <c r="J30" i="1"/>
  <c r="G45" i="1" l="1"/>
  <c r="G34" i="1"/>
  <c r="H45" i="1"/>
  <c r="F53" i="1" s="1"/>
  <c r="H34" i="1"/>
  <c r="F54" i="1" l="1"/>
  <c r="P34" i="1"/>
  <c r="L34" i="1"/>
  <c r="O34" i="1"/>
  <c r="K34" i="1"/>
  <c r="N34" i="1"/>
  <c r="J34" i="1"/>
  <c r="M34" i="1"/>
  <c r="I34" i="1"/>
</calcChain>
</file>

<file path=xl/sharedStrings.xml><?xml version="1.0" encoding="utf-8"?>
<sst xmlns="http://schemas.openxmlformats.org/spreadsheetml/2006/main" count="68" uniqueCount="67">
  <si>
    <t>Basic Real Estate Setup</t>
  </si>
  <si>
    <t>Year</t>
  </si>
  <si>
    <t>Year Ending</t>
  </si>
  <si>
    <t xml:space="preserve"> + Expense Reimbursements</t>
  </si>
  <si>
    <t xml:space="preserve"> - Vacancy and Credit Loss</t>
  </si>
  <si>
    <t>Effective Gross Revenue (EGR)</t>
  </si>
  <si>
    <t>Potential Gross Income (PGI)</t>
  </si>
  <si>
    <t>2. Annual rent increases of 3%</t>
  </si>
  <si>
    <t>Operating Expenses</t>
  </si>
  <si>
    <t>Real Estate Taxes</t>
  </si>
  <si>
    <t>Insurance</t>
  </si>
  <si>
    <t>Common Area Maintenance (CAM)</t>
  </si>
  <si>
    <t>Management Fee (3% of EGR)</t>
  </si>
  <si>
    <t>3. Expenses grown at 3%</t>
  </si>
  <si>
    <t>4. Vacancy of 10%</t>
  </si>
  <si>
    <t>1. Leases reimburse 100% of RE taxes, insurance, and CAM</t>
  </si>
  <si>
    <t>Leasing and Capital Costs</t>
  </si>
  <si>
    <t>Leasing Commissions</t>
  </si>
  <si>
    <t>Tenant Improvements</t>
  </si>
  <si>
    <t>Capital Reserves</t>
  </si>
  <si>
    <t>5. No lease-up during holding period</t>
  </si>
  <si>
    <t>7. Building size is 10,000 SF</t>
  </si>
  <si>
    <t>6. Capital reserves at $0.20 psf, growing at 3% per year</t>
  </si>
  <si>
    <t>Cash Flow from Operations (CFO)</t>
  </si>
  <si>
    <t>General Assumptions</t>
  </si>
  <si>
    <t>Debt Assumptions</t>
  </si>
  <si>
    <t>2. 70% loan-to-value (LTV)</t>
  </si>
  <si>
    <t>3. 10 year term</t>
  </si>
  <si>
    <t>4. 30 year amortization</t>
  </si>
  <si>
    <t>5. 5% interest rate</t>
  </si>
  <si>
    <t>Annual Payment</t>
  </si>
  <si>
    <t>Cash Flow after Financing (CFAF)</t>
  </si>
  <si>
    <t>Net Operating Income (NOI)</t>
  </si>
  <si>
    <t>Req'd Equity</t>
  </si>
  <si>
    <t>1. Purchase price (initial value)</t>
  </si>
  <si>
    <t>Disposition assumptions</t>
  </si>
  <si>
    <t>1. Terminal value determined by capping year 10 NOI</t>
  </si>
  <si>
    <t>3. Selling costs are 2% of sales price</t>
  </si>
  <si>
    <t>Disposition</t>
  </si>
  <si>
    <t>Gross sales price</t>
  </si>
  <si>
    <t>- Selling costs</t>
  </si>
  <si>
    <t>Unlevered Cash Flow</t>
  </si>
  <si>
    <t>Loan amount (70% of purchase price)</t>
  </si>
  <si>
    <t>Purchase price minus loan amount</t>
  </si>
  <si>
    <t>Unlevered Proceeds</t>
  </si>
  <si>
    <t>Levered Proceeds</t>
  </si>
  <si>
    <t>Levered Cash Flow</t>
  </si>
  <si>
    <t>Unlevered Returns</t>
  </si>
  <si>
    <t>Internal Rate of Return</t>
  </si>
  <si>
    <t>Equity Multiple</t>
  </si>
  <si>
    <t>Levered Returns</t>
  </si>
  <si>
    <t>Internal Rate of Return (IRR)</t>
  </si>
  <si>
    <t>Return Assumptions</t>
  </si>
  <si>
    <t>Debt Service Coverage  (DSC) from NOI</t>
  </si>
  <si>
    <t>Year 1 Debt Yield</t>
  </si>
  <si>
    <t>- Total Operating Expenses (OpEx)</t>
  </si>
  <si>
    <t>- Total Capital Expenditures (CapEx)</t>
  </si>
  <si>
    <t>- Debt Service (DS)</t>
  </si>
  <si>
    <t>Net sales price</t>
  </si>
  <si>
    <t>Net Proceeds (After repayment of debt)</t>
  </si>
  <si>
    <t>- Loan payoff</t>
  </si>
  <si>
    <t>Free and Clear Return</t>
  </si>
  <si>
    <t>Cash-on-Cash Return</t>
  </si>
  <si>
    <t>(Year one NOI ÷ 7% cap rate)</t>
  </si>
  <si>
    <t>2. Terminal cap rate of 7.5%</t>
  </si>
  <si>
    <t>Net present value (NPV) based on a 8% discount rate</t>
  </si>
  <si>
    <t>Net Present Value @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</si>
</sst>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0&quot;x&quot;"/>
    <numFmt numFmtId="165" formatCode="#.##&quot;x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15" fontId="0" fillId="0" borderId="1" xfId="0" applyNumberFormat="1" applyBorder="1"/>
    <xf numFmtId="0" fontId="0" fillId="0" borderId="0" xfId="0" quotePrefix="1"/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/>
    <xf numFmtId="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6" fontId="0" fillId="2" borderId="0" xfId="0" applyNumberFormat="1" applyFill="1"/>
    <xf numFmtId="0" fontId="3" fillId="0" borderId="0" xfId="0" applyFont="1"/>
    <xf numFmtId="3" fontId="4" fillId="0" borderId="0" xfId="0" applyNumberFormat="1" applyFont="1"/>
    <xf numFmtId="0" fontId="0" fillId="0" borderId="0" xfId="0" quotePrefix="1" applyAlignment="1">
      <alignment horizontal="left" indent="1"/>
    </xf>
    <xf numFmtId="0" fontId="5" fillId="0" borderId="0" xfId="0" applyFont="1"/>
    <xf numFmtId="3" fontId="3" fillId="0" borderId="0" xfId="0" applyNumberFormat="1" applyFon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quotePrefix="1" applyFont="1" applyAlignment="1"/>
    <xf numFmtId="0" fontId="0" fillId="0" borderId="0" xfId="0" quotePrefix="1" applyAlignment="1">
      <alignment horizontal="left" indent="2"/>
    </xf>
    <xf numFmtId="0" fontId="0" fillId="0" borderId="0" xfId="0" applyFont="1" applyAlignment="1">
      <alignment horizontal="left" indent="1"/>
    </xf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4"/>
  <sheetViews>
    <sheetView tabSelected="1" workbookViewId="0">
      <selection activeCell="A17" sqref="A17"/>
    </sheetView>
  </sheetViews>
  <sheetFormatPr defaultRowHeight="14.4" x14ac:dyDescent="0.3"/>
  <cols>
    <col min="1" max="1" width="2.6640625" customWidth="1"/>
    <col min="5" max="5" width="3.6640625" customWidth="1"/>
    <col min="6" max="6" width="9.5546875" bestFit="1" customWidth="1"/>
    <col min="7" max="7" width="10" style="9" bestFit="1" customWidth="1"/>
    <col min="8" max="15" width="9.33203125" style="9" bestFit="1" customWidth="1"/>
    <col min="16" max="16" width="11.5546875" style="9" bestFit="1" customWidth="1"/>
    <col min="17" max="18" width="8.88671875" style="9"/>
    <col min="19" max="19" width="11.5546875" bestFit="1" customWidth="1"/>
    <col min="20" max="20" width="11.44140625" bestFit="1" customWidth="1"/>
    <col min="21" max="21" width="10" bestFit="1" customWidth="1"/>
  </cols>
  <sheetData>
    <row r="1" spans="2:22" x14ac:dyDescent="0.3">
      <c r="G1"/>
      <c r="H1"/>
      <c r="I1"/>
      <c r="J1"/>
      <c r="K1"/>
      <c r="L1"/>
      <c r="M1"/>
      <c r="N1"/>
      <c r="O1"/>
      <c r="P1"/>
      <c r="Q1"/>
      <c r="R1"/>
    </row>
    <row r="2" spans="2:22" x14ac:dyDescent="0.3">
      <c r="B2" s="1" t="s">
        <v>0</v>
      </c>
      <c r="G2"/>
      <c r="H2"/>
      <c r="I2"/>
      <c r="J2"/>
      <c r="K2"/>
      <c r="L2"/>
      <c r="M2"/>
      <c r="N2"/>
      <c r="O2"/>
      <c r="P2"/>
      <c r="Q2"/>
      <c r="R2" s="1" t="s">
        <v>24</v>
      </c>
    </row>
    <row r="3" spans="2:22" x14ac:dyDescent="0.3">
      <c r="G3"/>
      <c r="H3"/>
      <c r="I3"/>
      <c r="J3"/>
      <c r="K3"/>
      <c r="L3"/>
      <c r="M3"/>
      <c r="N3"/>
      <c r="O3"/>
      <c r="P3"/>
      <c r="Q3"/>
      <c r="R3" t="s">
        <v>15</v>
      </c>
    </row>
    <row r="4" spans="2:22" x14ac:dyDescent="0.3">
      <c r="B4" t="s">
        <v>1</v>
      </c>
      <c r="F4">
        <v>0</v>
      </c>
      <c r="G4">
        <f>F4+1</f>
        <v>1</v>
      </c>
      <c r="H4">
        <f t="shared" ref="H4:P4" si="0">G4+1</f>
        <v>2</v>
      </c>
      <c r="I4">
        <f t="shared" si="0"/>
        <v>3</v>
      </c>
      <c r="J4">
        <f t="shared" si="0"/>
        <v>4</v>
      </c>
      <c r="K4">
        <f t="shared" si="0"/>
        <v>5</v>
      </c>
      <c r="L4">
        <f t="shared" si="0"/>
        <v>6</v>
      </c>
      <c r="M4">
        <f t="shared" si="0"/>
        <v>7</v>
      </c>
      <c r="N4">
        <f t="shared" si="0"/>
        <v>8</v>
      </c>
      <c r="O4">
        <f t="shared" si="0"/>
        <v>9</v>
      </c>
      <c r="P4">
        <f t="shared" si="0"/>
        <v>10</v>
      </c>
      <c r="Q4"/>
      <c r="R4" t="s">
        <v>7</v>
      </c>
    </row>
    <row r="5" spans="2:22" x14ac:dyDescent="0.3">
      <c r="B5" s="2" t="s">
        <v>2</v>
      </c>
      <c r="C5" s="2"/>
      <c r="D5" s="2"/>
      <c r="E5" s="2"/>
      <c r="F5" s="3">
        <f ca="1">EOMONTH(TODAY(),0)</f>
        <v>42947</v>
      </c>
      <c r="G5" s="3">
        <f ca="1">EOMONTH(F5,12)</f>
        <v>43312</v>
      </c>
      <c r="H5" s="3">
        <f t="shared" ref="H5:P5" ca="1" si="1">EOMONTH(G5,12)</f>
        <v>43677</v>
      </c>
      <c r="I5" s="3">
        <f t="shared" ca="1" si="1"/>
        <v>44043</v>
      </c>
      <c r="J5" s="3">
        <f t="shared" ca="1" si="1"/>
        <v>44408</v>
      </c>
      <c r="K5" s="3">
        <f t="shared" ca="1" si="1"/>
        <v>44773</v>
      </c>
      <c r="L5" s="3">
        <f t="shared" ca="1" si="1"/>
        <v>45138</v>
      </c>
      <c r="M5" s="3">
        <f t="shared" ca="1" si="1"/>
        <v>45504</v>
      </c>
      <c r="N5" s="3">
        <f t="shared" ca="1" si="1"/>
        <v>45869</v>
      </c>
      <c r="O5" s="3">
        <f t="shared" ca="1" si="1"/>
        <v>46234</v>
      </c>
      <c r="P5" s="3">
        <f t="shared" ca="1" si="1"/>
        <v>46599</v>
      </c>
      <c r="Q5"/>
      <c r="R5" t="s">
        <v>13</v>
      </c>
    </row>
    <row r="6" spans="2:22" x14ac:dyDescent="0.3">
      <c r="B6" t="s">
        <v>6</v>
      </c>
      <c r="G6" s="9">
        <v>100000</v>
      </c>
      <c r="H6" s="9">
        <f>G6*1.03</f>
        <v>103000</v>
      </c>
      <c r="I6" s="9">
        <f t="shared" ref="I6:P6" si="2">H6*1.03</f>
        <v>106090</v>
      </c>
      <c r="J6" s="9">
        <f t="shared" si="2"/>
        <v>109272.7</v>
      </c>
      <c r="K6" s="9">
        <f t="shared" si="2"/>
        <v>112550.88099999999</v>
      </c>
      <c r="L6" s="9">
        <f t="shared" si="2"/>
        <v>115927.40742999999</v>
      </c>
      <c r="M6" s="9">
        <f t="shared" si="2"/>
        <v>119405.2296529</v>
      </c>
      <c r="N6" s="9">
        <f t="shared" si="2"/>
        <v>122987.386542487</v>
      </c>
      <c r="O6" s="9">
        <f t="shared" si="2"/>
        <v>126677.00813876161</v>
      </c>
      <c r="P6" s="9">
        <f t="shared" si="2"/>
        <v>130477.31838292447</v>
      </c>
      <c r="R6" s="9" t="s">
        <v>14</v>
      </c>
    </row>
    <row r="7" spans="2:22" x14ac:dyDescent="0.3">
      <c r="B7" s="4" t="s">
        <v>3</v>
      </c>
      <c r="G7" s="9">
        <f>G12+G13+G14</f>
        <v>17500</v>
      </c>
      <c r="H7" s="9">
        <f t="shared" ref="H7:P7" si="3">H12+H13+H14</f>
        <v>18025</v>
      </c>
      <c r="I7" s="9">
        <f t="shared" si="3"/>
        <v>18565.75</v>
      </c>
      <c r="J7" s="9">
        <f t="shared" si="3"/>
        <v>19122.722500000003</v>
      </c>
      <c r="K7" s="9">
        <f t="shared" si="3"/>
        <v>19696.404175000003</v>
      </c>
      <c r="L7" s="9">
        <f t="shared" si="3"/>
        <v>20287.29630025</v>
      </c>
      <c r="M7" s="9">
        <f t="shared" si="3"/>
        <v>20895.915189257499</v>
      </c>
      <c r="N7" s="9">
        <f t="shared" si="3"/>
        <v>21522.792644935224</v>
      </c>
      <c r="O7" s="9">
        <f t="shared" si="3"/>
        <v>22168.476424283283</v>
      </c>
      <c r="P7" s="9">
        <f t="shared" si="3"/>
        <v>22833.530717011781</v>
      </c>
      <c r="R7" s="9" t="s">
        <v>20</v>
      </c>
    </row>
    <row r="8" spans="2:22" x14ac:dyDescent="0.3">
      <c r="B8" s="4" t="s">
        <v>4</v>
      </c>
      <c r="F8" s="5"/>
      <c r="G8" s="10">
        <f>(G6+G7)*0.1</f>
        <v>11750</v>
      </c>
      <c r="H8" s="10">
        <f t="shared" ref="H8:P8" si="4">(H6+H7)*0.1</f>
        <v>12102.5</v>
      </c>
      <c r="I8" s="10">
        <f t="shared" si="4"/>
        <v>12465.575000000001</v>
      </c>
      <c r="J8" s="10">
        <f t="shared" si="4"/>
        <v>12839.54225</v>
      </c>
      <c r="K8" s="10">
        <f t="shared" si="4"/>
        <v>13224.7285175</v>
      </c>
      <c r="L8" s="10">
        <f t="shared" si="4"/>
        <v>13621.470373024998</v>
      </c>
      <c r="M8" s="10">
        <f t="shared" si="4"/>
        <v>14030.11448421575</v>
      </c>
      <c r="N8" s="10">
        <f t="shared" si="4"/>
        <v>14451.017918742222</v>
      </c>
      <c r="O8" s="10">
        <f t="shared" si="4"/>
        <v>14884.548456304488</v>
      </c>
      <c r="P8" s="10">
        <f t="shared" si="4"/>
        <v>15331.084909993626</v>
      </c>
      <c r="R8" s="9" t="s">
        <v>22</v>
      </c>
    </row>
    <row r="9" spans="2:22" s="1" customFormat="1" x14ac:dyDescent="0.3">
      <c r="B9" s="1" t="s">
        <v>5</v>
      </c>
      <c r="G9" s="11">
        <f>G6+G7-G8</f>
        <v>105750</v>
      </c>
      <c r="H9" s="11">
        <f t="shared" ref="H9:P9" si="5">H6+H7-H8</f>
        <v>108922.5</v>
      </c>
      <c r="I9" s="11">
        <f t="shared" si="5"/>
        <v>112190.175</v>
      </c>
      <c r="J9" s="11">
        <f t="shared" si="5"/>
        <v>115555.88025</v>
      </c>
      <c r="K9" s="11">
        <f t="shared" si="5"/>
        <v>119022.5566575</v>
      </c>
      <c r="L9" s="11">
        <f t="shared" si="5"/>
        <v>122593.23335722498</v>
      </c>
      <c r="M9" s="11">
        <f t="shared" si="5"/>
        <v>126271.03035794174</v>
      </c>
      <c r="N9" s="11">
        <f t="shared" si="5"/>
        <v>130059.16126867999</v>
      </c>
      <c r="O9" s="11">
        <f t="shared" si="5"/>
        <v>133960.93610674038</v>
      </c>
      <c r="P9" s="11">
        <f t="shared" si="5"/>
        <v>137979.76418994262</v>
      </c>
      <c r="Q9" s="11"/>
      <c r="R9" s="12" t="s">
        <v>21</v>
      </c>
    </row>
    <row r="11" spans="2:22" x14ac:dyDescent="0.3">
      <c r="B11" t="s">
        <v>8</v>
      </c>
      <c r="R11" s="11" t="s">
        <v>25</v>
      </c>
    </row>
    <row r="12" spans="2:22" x14ac:dyDescent="0.3">
      <c r="B12" s="6" t="s">
        <v>9</v>
      </c>
      <c r="G12" s="9">
        <v>10000</v>
      </c>
      <c r="H12" s="9">
        <f>G12*1.03</f>
        <v>10300</v>
      </c>
      <c r="I12" s="9">
        <f t="shared" ref="I12:P12" si="6">H12*1.03</f>
        <v>10609</v>
      </c>
      <c r="J12" s="9">
        <f t="shared" si="6"/>
        <v>10927.27</v>
      </c>
      <c r="K12" s="9">
        <f t="shared" si="6"/>
        <v>11255.088100000001</v>
      </c>
      <c r="L12" s="9">
        <f t="shared" si="6"/>
        <v>11592.740743</v>
      </c>
      <c r="M12" s="9">
        <f t="shared" si="6"/>
        <v>11940.52296529</v>
      </c>
      <c r="N12" s="9">
        <f t="shared" si="6"/>
        <v>12298.7386542487</v>
      </c>
      <c r="O12" s="9">
        <f t="shared" si="6"/>
        <v>12667.700813876161</v>
      </c>
      <c r="P12" s="9">
        <f t="shared" si="6"/>
        <v>13047.731838292446</v>
      </c>
      <c r="R12" s="9" t="s">
        <v>34</v>
      </c>
      <c r="U12" s="9">
        <f>G18/0.07</f>
        <v>1215392.857142857</v>
      </c>
      <c r="V12" s="14" t="s">
        <v>63</v>
      </c>
    </row>
    <row r="13" spans="2:22" x14ac:dyDescent="0.3">
      <c r="B13" s="6" t="s">
        <v>10</v>
      </c>
      <c r="G13" s="9">
        <v>2500</v>
      </c>
      <c r="H13" s="9">
        <f>G13*1.03</f>
        <v>2575</v>
      </c>
      <c r="I13" s="9">
        <f t="shared" ref="I13:P13" si="7">H13*1.03</f>
        <v>2652.25</v>
      </c>
      <c r="J13" s="9">
        <f t="shared" si="7"/>
        <v>2731.8175000000001</v>
      </c>
      <c r="K13" s="9">
        <f t="shared" si="7"/>
        <v>2813.7720250000002</v>
      </c>
      <c r="L13" s="9">
        <f t="shared" si="7"/>
        <v>2898.1851857500001</v>
      </c>
      <c r="M13" s="9">
        <f t="shared" si="7"/>
        <v>2985.1307413224999</v>
      </c>
      <c r="N13" s="9">
        <f t="shared" si="7"/>
        <v>3074.684663562175</v>
      </c>
      <c r="O13" s="9">
        <f t="shared" si="7"/>
        <v>3166.9252034690403</v>
      </c>
      <c r="P13" s="9">
        <f t="shared" si="7"/>
        <v>3261.9329595731115</v>
      </c>
      <c r="R13" s="9" t="s">
        <v>26</v>
      </c>
      <c r="U13" s="9">
        <f>U12*0.7</f>
        <v>850774.99999999988</v>
      </c>
      <c r="V13" s="14" t="s">
        <v>42</v>
      </c>
    </row>
    <row r="14" spans="2:22" x14ac:dyDescent="0.3">
      <c r="B14" s="6" t="s">
        <v>11</v>
      </c>
      <c r="G14" s="9">
        <v>5000</v>
      </c>
      <c r="H14" s="9">
        <f>G14*1.03</f>
        <v>5150</v>
      </c>
      <c r="I14" s="9">
        <f t="shared" ref="I14:P14" si="8">H14*1.03</f>
        <v>5304.5</v>
      </c>
      <c r="J14" s="9">
        <f t="shared" si="8"/>
        <v>5463.6350000000002</v>
      </c>
      <c r="K14" s="9">
        <f t="shared" si="8"/>
        <v>5627.5440500000004</v>
      </c>
      <c r="L14" s="9">
        <f t="shared" si="8"/>
        <v>5796.3703715000001</v>
      </c>
      <c r="M14" s="9">
        <f t="shared" si="8"/>
        <v>5970.2614826449999</v>
      </c>
      <c r="N14" s="9">
        <f t="shared" si="8"/>
        <v>6149.3693271243501</v>
      </c>
      <c r="O14" s="9">
        <f t="shared" si="8"/>
        <v>6333.8504069380806</v>
      </c>
      <c r="P14" s="9">
        <f t="shared" si="8"/>
        <v>6523.865919146223</v>
      </c>
      <c r="R14" s="9" t="s">
        <v>27</v>
      </c>
    </row>
    <row r="15" spans="2:22" x14ac:dyDescent="0.3">
      <c r="B15" s="6" t="s">
        <v>12</v>
      </c>
      <c r="G15" s="10">
        <f>G9*0.03</f>
        <v>3172.5</v>
      </c>
      <c r="H15" s="10">
        <f>H9*0.03</f>
        <v>3267.6749999999997</v>
      </c>
      <c r="I15" s="10">
        <f t="shared" ref="I15:P15" si="9">I9*0.03</f>
        <v>3365.70525</v>
      </c>
      <c r="J15" s="10">
        <f t="shared" si="9"/>
        <v>3466.6764075000001</v>
      </c>
      <c r="K15" s="10">
        <f t="shared" si="9"/>
        <v>3570.6766997249997</v>
      </c>
      <c r="L15" s="10">
        <f t="shared" si="9"/>
        <v>3677.7970007167492</v>
      </c>
      <c r="M15" s="10">
        <f t="shared" si="9"/>
        <v>3788.1309107382522</v>
      </c>
      <c r="N15" s="10">
        <f t="shared" si="9"/>
        <v>3901.7748380603998</v>
      </c>
      <c r="O15" s="10">
        <f t="shared" si="9"/>
        <v>4018.8280832022115</v>
      </c>
      <c r="P15" s="10">
        <f t="shared" si="9"/>
        <v>4139.3929256982783</v>
      </c>
      <c r="R15" s="9" t="s">
        <v>28</v>
      </c>
    </row>
    <row r="16" spans="2:22" s="1" customFormat="1" x14ac:dyDescent="0.3">
      <c r="B16" s="22" t="s">
        <v>55</v>
      </c>
      <c r="G16" s="11">
        <f>SUM(G12:G15)</f>
        <v>20672.5</v>
      </c>
      <c r="H16" s="11">
        <f t="shared" ref="H16:P16" si="10">SUM(H12:H15)</f>
        <v>21292.674999999999</v>
      </c>
      <c r="I16" s="11">
        <f t="shared" si="10"/>
        <v>21931.455249999999</v>
      </c>
      <c r="J16" s="11">
        <f t="shared" si="10"/>
        <v>22589.398907500003</v>
      </c>
      <c r="K16" s="11">
        <f t="shared" si="10"/>
        <v>23267.080874725005</v>
      </c>
      <c r="L16" s="11">
        <f t="shared" si="10"/>
        <v>23965.09330096675</v>
      </c>
      <c r="M16" s="11">
        <f t="shared" si="10"/>
        <v>24684.04609999575</v>
      </c>
      <c r="N16" s="11">
        <f t="shared" si="10"/>
        <v>25424.567482995622</v>
      </c>
      <c r="O16" s="11">
        <f t="shared" si="10"/>
        <v>26187.304507485493</v>
      </c>
      <c r="P16" s="11">
        <f t="shared" si="10"/>
        <v>26972.923642710059</v>
      </c>
      <c r="Q16" s="11"/>
      <c r="R16" s="12" t="s">
        <v>29</v>
      </c>
    </row>
    <row r="17" spans="2:22" x14ac:dyDescent="0.3">
      <c r="R17" s="9" t="s">
        <v>30</v>
      </c>
      <c r="U17" s="13">
        <f>-PMT(5%/12,30*12,U12*0.7)*12</f>
        <v>54805.729958178315</v>
      </c>
    </row>
    <row r="18" spans="2:22" s="1" customFormat="1" x14ac:dyDescent="0.3">
      <c r="B18" s="7" t="s">
        <v>32</v>
      </c>
      <c r="G18" s="11">
        <f>G9-G16</f>
        <v>85077.5</v>
      </c>
      <c r="H18" s="11">
        <f t="shared" ref="H18:P18" si="11">H9-H16</f>
        <v>87629.824999999997</v>
      </c>
      <c r="I18" s="11">
        <f t="shared" si="11"/>
        <v>90258.719750000004</v>
      </c>
      <c r="J18" s="11">
        <f t="shared" si="11"/>
        <v>92966.481342500003</v>
      </c>
      <c r="K18" s="11">
        <f t="shared" si="11"/>
        <v>95755.475782775</v>
      </c>
      <c r="L18" s="11">
        <f t="shared" si="11"/>
        <v>98628.140056258228</v>
      </c>
      <c r="M18" s="11">
        <f t="shared" si="11"/>
        <v>101586.98425794599</v>
      </c>
      <c r="N18" s="11">
        <f t="shared" si="11"/>
        <v>104634.59378568437</v>
      </c>
      <c r="O18" s="11">
        <f t="shared" si="11"/>
        <v>107773.63159925489</v>
      </c>
      <c r="P18" s="11">
        <f t="shared" si="11"/>
        <v>111006.84054723257</v>
      </c>
      <c r="Q18" s="11"/>
      <c r="R18" s="15" t="s">
        <v>33</v>
      </c>
      <c r="U18" s="12">
        <f>U12*0.3</f>
        <v>364617.8571428571</v>
      </c>
      <c r="V18" s="17" t="s">
        <v>43</v>
      </c>
    </row>
    <row r="20" spans="2:22" x14ac:dyDescent="0.3">
      <c r="B20" t="s">
        <v>16</v>
      </c>
      <c r="R20" s="11" t="s">
        <v>35</v>
      </c>
    </row>
    <row r="21" spans="2:22" x14ac:dyDescent="0.3">
      <c r="B21" s="6" t="s">
        <v>17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R21" s="9" t="s">
        <v>36</v>
      </c>
    </row>
    <row r="22" spans="2:22" x14ac:dyDescent="0.3">
      <c r="B22" s="6" t="s">
        <v>18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R22" s="9" t="s">
        <v>64</v>
      </c>
    </row>
    <row r="23" spans="2:22" x14ac:dyDescent="0.3">
      <c r="B23" s="6" t="s">
        <v>19</v>
      </c>
      <c r="G23" s="9">
        <f>10000*0.2</f>
        <v>2000</v>
      </c>
      <c r="H23" s="9">
        <f>G23*1.03</f>
        <v>2060</v>
      </c>
      <c r="I23" s="9">
        <f t="shared" ref="I23:P23" si="12">H23*1.03</f>
        <v>2121.8000000000002</v>
      </c>
      <c r="J23" s="9">
        <f t="shared" si="12"/>
        <v>2185.4540000000002</v>
      </c>
      <c r="K23" s="9">
        <f t="shared" si="12"/>
        <v>2251.0176200000001</v>
      </c>
      <c r="L23" s="9">
        <f t="shared" si="12"/>
        <v>2318.5481486000003</v>
      </c>
      <c r="M23" s="9">
        <f t="shared" si="12"/>
        <v>2388.1045930580003</v>
      </c>
      <c r="N23" s="9">
        <f t="shared" si="12"/>
        <v>2459.7477308497405</v>
      </c>
      <c r="O23" s="9">
        <f t="shared" si="12"/>
        <v>2533.5401627752326</v>
      </c>
      <c r="P23" s="9">
        <f t="shared" si="12"/>
        <v>2609.5463676584895</v>
      </c>
      <c r="R23" s="9" t="s">
        <v>37</v>
      </c>
    </row>
    <row r="24" spans="2:22" s="1" customFormat="1" x14ac:dyDescent="0.3">
      <c r="B24" s="22" t="s">
        <v>56</v>
      </c>
      <c r="G24" s="11">
        <f>SUM(G21:G23)</f>
        <v>2000</v>
      </c>
      <c r="H24" s="11">
        <f t="shared" ref="H24:P24" si="13">SUM(H21:H23)</f>
        <v>2060</v>
      </c>
      <c r="I24" s="11">
        <f t="shared" si="13"/>
        <v>2121.8000000000002</v>
      </c>
      <c r="J24" s="11">
        <f t="shared" si="13"/>
        <v>2185.4540000000002</v>
      </c>
      <c r="K24" s="11">
        <f t="shared" si="13"/>
        <v>2251.0176200000001</v>
      </c>
      <c r="L24" s="11">
        <f t="shared" si="13"/>
        <v>2318.5481486000003</v>
      </c>
      <c r="M24" s="11">
        <f t="shared" si="13"/>
        <v>2388.1045930580003</v>
      </c>
      <c r="N24" s="11">
        <f t="shared" si="13"/>
        <v>2459.7477308497405</v>
      </c>
      <c r="O24" s="11">
        <f t="shared" si="13"/>
        <v>2533.5401627752326</v>
      </c>
      <c r="P24" s="11">
        <f t="shared" si="13"/>
        <v>2609.5463676584895</v>
      </c>
      <c r="Q24" s="11"/>
      <c r="R24" s="11"/>
    </row>
    <row r="25" spans="2:22" x14ac:dyDescent="0.3">
      <c r="R25" s="11" t="s">
        <v>52</v>
      </c>
    </row>
    <row r="26" spans="2:22" s="1" customFormat="1" x14ac:dyDescent="0.3">
      <c r="B26" s="7" t="s">
        <v>23</v>
      </c>
      <c r="G26" s="11">
        <f>G18-G24</f>
        <v>83077.5</v>
      </c>
      <c r="H26" s="11">
        <f t="shared" ref="H26:P26" si="14">H18-H24</f>
        <v>85569.824999999997</v>
      </c>
      <c r="I26" s="11">
        <f t="shared" si="14"/>
        <v>88136.919750000001</v>
      </c>
      <c r="J26" s="11">
        <f t="shared" si="14"/>
        <v>90781.027342500005</v>
      </c>
      <c r="K26" s="11">
        <f t="shared" si="14"/>
        <v>93504.458162775001</v>
      </c>
      <c r="L26" s="11">
        <f t="shared" si="14"/>
        <v>96309.591907658221</v>
      </c>
      <c r="M26" s="11">
        <f t="shared" si="14"/>
        <v>99198.879664887994</v>
      </c>
      <c r="N26" s="11">
        <f t="shared" si="14"/>
        <v>102174.84605483462</v>
      </c>
      <c r="O26" s="11">
        <f t="shared" si="14"/>
        <v>105240.09143647966</v>
      </c>
      <c r="P26" s="11">
        <f t="shared" si="14"/>
        <v>108397.29417957408</v>
      </c>
      <c r="Q26" s="11"/>
      <c r="R26" s="12" t="s">
        <v>65</v>
      </c>
    </row>
    <row r="27" spans="2:22" s="1" customFormat="1" x14ac:dyDescent="0.3">
      <c r="B27" s="24" t="s">
        <v>61</v>
      </c>
      <c r="G27" s="25">
        <f>G26/-SUMIF($F$43:G43,"&lt;0")</f>
        <v>6.8354441538597169E-2</v>
      </c>
      <c r="H27" s="25">
        <f>H26/-SUMIF($F$43:H43,"&lt;0")</f>
        <v>7.0405074784755078E-2</v>
      </c>
      <c r="I27" s="25">
        <f>I26/-SUMIF($F$43:I43,"&lt;0")</f>
        <v>7.2517227028297729E-2</v>
      </c>
      <c r="J27" s="25">
        <f>J26/-SUMIF($F$43:J43,"&lt;0")</f>
        <v>7.4692743839146675E-2</v>
      </c>
      <c r="K27" s="25">
        <f>K26/-SUMIF($F$43:K43,"&lt;0")</f>
        <v>7.6933526154321072E-2</v>
      </c>
      <c r="L27" s="25">
        <f>L26/-SUMIF($F$43:L43,"&lt;0")</f>
        <v>7.9241531938950671E-2</v>
      </c>
      <c r="M27" s="25">
        <f>M26/-SUMIF($F$43:M43,"&lt;0")</f>
        <v>8.1618777897119216E-2</v>
      </c>
      <c r="N27" s="25">
        <f>N26/-SUMIF($F$43:N43,"&lt;0")</f>
        <v>8.4067341234032783E-2</v>
      </c>
      <c r="O27" s="25">
        <f>O26/-SUMIF($F$43:O43,"&lt;0")</f>
        <v>8.6589361471053769E-2</v>
      </c>
      <c r="P27" s="25">
        <f>P26/-SUMIF($F$43:P43,"&lt;0")</f>
        <v>8.91870423151854E-2</v>
      </c>
      <c r="Q27" s="11"/>
      <c r="R27" s="12"/>
    </row>
    <row r="29" spans="2:22" x14ac:dyDescent="0.3">
      <c r="B29" s="4" t="s">
        <v>57</v>
      </c>
      <c r="G29" s="9">
        <f t="shared" ref="G29:P29" si="15">$U$17</f>
        <v>54805.729958178315</v>
      </c>
      <c r="H29" s="9">
        <f t="shared" si="15"/>
        <v>54805.729958178315</v>
      </c>
      <c r="I29" s="9">
        <f t="shared" si="15"/>
        <v>54805.729958178315</v>
      </c>
      <c r="J29" s="9">
        <f t="shared" si="15"/>
        <v>54805.729958178315</v>
      </c>
      <c r="K29" s="9">
        <f t="shared" si="15"/>
        <v>54805.729958178315</v>
      </c>
      <c r="L29" s="9">
        <f t="shared" si="15"/>
        <v>54805.729958178315</v>
      </c>
      <c r="M29" s="9">
        <f t="shared" si="15"/>
        <v>54805.729958178315</v>
      </c>
      <c r="N29" s="9">
        <f t="shared" si="15"/>
        <v>54805.729958178315</v>
      </c>
      <c r="O29" s="9">
        <f t="shared" si="15"/>
        <v>54805.729958178315</v>
      </c>
      <c r="P29" s="9">
        <f t="shared" si="15"/>
        <v>54805.729958178315</v>
      </c>
    </row>
    <row r="30" spans="2:22" x14ac:dyDescent="0.3">
      <c r="B30" s="6" t="s">
        <v>53</v>
      </c>
      <c r="G30" s="8">
        <f>G18/G29</f>
        <v>1.5523468087172958</v>
      </c>
      <c r="H30" s="8">
        <f t="shared" ref="H30:P30" si="16">H18/H29</f>
        <v>1.5989172129788145</v>
      </c>
      <c r="I30" s="8">
        <f t="shared" si="16"/>
        <v>1.6468847293681792</v>
      </c>
      <c r="J30" s="8">
        <f t="shared" si="16"/>
        <v>1.6962912712492244</v>
      </c>
      <c r="K30" s="8">
        <f t="shared" si="16"/>
        <v>1.7471800093867011</v>
      </c>
      <c r="L30" s="8">
        <f t="shared" si="16"/>
        <v>1.7995954096683018</v>
      </c>
      <c r="M30" s="8">
        <f t="shared" si="16"/>
        <v>1.8535832719583512</v>
      </c>
      <c r="N30" s="8">
        <f t="shared" si="16"/>
        <v>1.9091907701171016</v>
      </c>
      <c r="O30" s="8">
        <f t="shared" si="16"/>
        <v>1.9664664932206146</v>
      </c>
      <c r="P30" s="8">
        <f t="shared" si="16"/>
        <v>2.0254604880172336</v>
      </c>
    </row>
    <row r="31" spans="2:22" x14ac:dyDescent="0.3">
      <c r="B31" s="6" t="s">
        <v>54</v>
      </c>
      <c r="G31" s="19">
        <f>G18/U13</f>
        <v>0.10000000000000002</v>
      </c>
      <c r="H31" s="8"/>
      <c r="I31" s="8"/>
      <c r="J31" s="8"/>
      <c r="K31" s="8"/>
      <c r="L31" s="8"/>
      <c r="M31" s="8"/>
      <c r="N31" s="8"/>
      <c r="O31" s="8"/>
      <c r="P31" s="8"/>
    </row>
    <row r="33" spans="2:18" s="1" customFormat="1" x14ac:dyDescent="0.3">
      <c r="B33" s="1" t="s">
        <v>31</v>
      </c>
      <c r="G33" s="11">
        <f>G26-G29</f>
        <v>28271.770041821685</v>
      </c>
      <c r="H33" s="11">
        <f t="shared" ref="H33:P33" si="17">H26-H29</f>
        <v>30764.095041821682</v>
      </c>
      <c r="I33" s="11">
        <f t="shared" si="17"/>
        <v>33331.189791821686</v>
      </c>
      <c r="J33" s="11">
        <f t="shared" si="17"/>
        <v>35975.29738432169</v>
      </c>
      <c r="K33" s="11">
        <f t="shared" si="17"/>
        <v>38698.728204596686</v>
      </c>
      <c r="L33" s="11">
        <f t="shared" si="17"/>
        <v>41503.861949479906</v>
      </c>
      <c r="M33" s="11">
        <f t="shared" si="17"/>
        <v>44393.149706709679</v>
      </c>
      <c r="N33" s="11">
        <f t="shared" si="17"/>
        <v>47369.116096656304</v>
      </c>
      <c r="O33" s="11">
        <f t="shared" si="17"/>
        <v>50434.361478301347</v>
      </c>
      <c r="P33" s="11">
        <f t="shared" si="17"/>
        <v>53591.564221395762</v>
      </c>
      <c r="Q33" s="11"/>
      <c r="R33" s="11"/>
    </row>
    <row r="34" spans="2:18" s="1" customFormat="1" x14ac:dyDescent="0.3">
      <c r="B34" s="24" t="s">
        <v>62</v>
      </c>
      <c r="G34" s="25">
        <f>G33/-SUMIF($F$45:G45,"&lt;0")</f>
        <v>7.7538084018591608E-2</v>
      </c>
      <c r="H34" s="25">
        <f>H33/-SUMIF($F$45:H45,"&lt;0")</f>
        <v>8.4373528172451306E-2</v>
      </c>
      <c r="I34" s="25">
        <f>I33/-SUMIF($F$45:I45,"&lt;0")</f>
        <v>9.1414035650926831E-2</v>
      </c>
      <c r="J34" s="25">
        <f>J33/-SUMIF($F$45:J45,"&lt;0")</f>
        <v>9.8665758353756614E-2</v>
      </c>
      <c r="K34" s="25">
        <f>K33/-SUMIF($F$45:K45,"&lt;0")</f>
        <v>0.10613503273767128</v>
      </c>
      <c r="L34" s="25">
        <f>L33/-SUMIF($F$45:L45,"&lt;0")</f>
        <v>0.1138283853531033</v>
      </c>
      <c r="M34" s="25">
        <f>M33/-SUMIF($F$45:M45,"&lt;0")</f>
        <v>0.12175253854699844</v>
      </c>
      <c r="N34" s="25">
        <f>N33/-SUMIF($F$45:N45,"&lt;0")</f>
        <v>0.12991441633671033</v>
      </c>
      <c r="O34" s="25">
        <f>O33/-SUMIF($F$45:O45,"&lt;0")</f>
        <v>0.13832115046011362</v>
      </c>
      <c r="P34" s="25">
        <f>P33/-SUMIF($F$45:P45,"&lt;0")</f>
        <v>0.14698008660721906</v>
      </c>
      <c r="Q34" s="11"/>
      <c r="R34" s="11"/>
    </row>
    <row r="36" spans="2:18" x14ac:dyDescent="0.3">
      <c r="B36" s="1" t="s">
        <v>38</v>
      </c>
      <c r="F36" s="9"/>
    </row>
    <row r="37" spans="2:18" x14ac:dyDescent="0.3">
      <c r="B37" s="6" t="s">
        <v>39</v>
      </c>
      <c r="P37" s="9">
        <f>P18/0.075</f>
        <v>1480091.2072964343</v>
      </c>
    </row>
    <row r="38" spans="2:18" x14ac:dyDescent="0.3">
      <c r="B38" s="16" t="s">
        <v>40</v>
      </c>
      <c r="P38" s="10">
        <f>P37*0.02</f>
        <v>29601.824145928687</v>
      </c>
    </row>
    <row r="39" spans="2:18" x14ac:dyDescent="0.3">
      <c r="B39" s="6" t="s">
        <v>58</v>
      </c>
      <c r="P39" s="9">
        <f>P37-P38</f>
        <v>1450489.3831505056</v>
      </c>
      <c r="Q39" s="18" t="s">
        <v>44</v>
      </c>
    </row>
    <row r="40" spans="2:18" x14ac:dyDescent="0.3">
      <c r="B40" s="23" t="s">
        <v>60</v>
      </c>
      <c r="P40" s="10">
        <f>-PV(0.05/12,(30-10)*12,U17/12)</f>
        <v>692037.94918164727</v>
      </c>
    </row>
    <row r="41" spans="2:18" x14ac:dyDescent="0.3">
      <c r="B41" s="6" t="s">
        <v>59</v>
      </c>
      <c r="P41" s="9">
        <f>P39-P40</f>
        <v>758451.43396885833</v>
      </c>
      <c r="Q41" s="18" t="s">
        <v>45</v>
      </c>
    </row>
    <row r="43" spans="2:18" x14ac:dyDescent="0.3">
      <c r="B43" t="s">
        <v>41</v>
      </c>
      <c r="F43" s="9">
        <f>-U12</f>
        <v>-1215392.857142857</v>
      </c>
      <c r="G43" s="9">
        <f>G26+G39</f>
        <v>83077.5</v>
      </c>
      <c r="H43" s="9">
        <f t="shared" ref="H43:P43" si="18">H26+H39</f>
        <v>85569.824999999997</v>
      </c>
      <c r="I43" s="9">
        <f t="shared" si="18"/>
        <v>88136.919750000001</v>
      </c>
      <c r="J43" s="9">
        <f t="shared" si="18"/>
        <v>90781.027342500005</v>
      </c>
      <c r="K43" s="9">
        <f t="shared" si="18"/>
        <v>93504.458162775001</v>
      </c>
      <c r="L43" s="9">
        <f t="shared" si="18"/>
        <v>96309.591907658221</v>
      </c>
      <c r="M43" s="9">
        <f t="shared" si="18"/>
        <v>99198.879664887994</v>
      </c>
      <c r="N43" s="9">
        <f t="shared" si="18"/>
        <v>102174.84605483462</v>
      </c>
      <c r="O43" s="9">
        <f t="shared" si="18"/>
        <v>105240.09143647966</v>
      </c>
      <c r="P43" s="9">
        <f t="shared" si="18"/>
        <v>1558886.6773300797</v>
      </c>
    </row>
    <row r="45" spans="2:18" x14ac:dyDescent="0.3">
      <c r="B45" t="s">
        <v>46</v>
      </c>
      <c r="F45" s="9">
        <f>-U18</f>
        <v>-364617.8571428571</v>
      </c>
      <c r="G45" s="9">
        <f>G33+G41</f>
        <v>28271.770041821685</v>
      </c>
      <c r="H45" s="9">
        <f t="shared" ref="H45:P45" si="19">H33+H41</f>
        <v>30764.095041821682</v>
      </c>
      <c r="I45" s="9">
        <f t="shared" si="19"/>
        <v>33331.189791821686</v>
      </c>
      <c r="J45" s="9">
        <f t="shared" si="19"/>
        <v>35975.29738432169</v>
      </c>
      <c r="K45" s="9">
        <f t="shared" si="19"/>
        <v>38698.728204596686</v>
      </c>
      <c r="L45" s="9">
        <f t="shared" si="19"/>
        <v>41503.861949479906</v>
      </c>
      <c r="M45" s="9">
        <f t="shared" si="19"/>
        <v>44393.149706709679</v>
      </c>
      <c r="N45" s="9">
        <f t="shared" si="19"/>
        <v>47369.116096656304</v>
      </c>
      <c r="O45" s="9">
        <f t="shared" si="19"/>
        <v>50434.361478301347</v>
      </c>
      <c r="P45" s="9">
        <f t="shared" si="19"/>
        <v>812042.99819025409</v>
      </c>
    </row>
    <row r="47" spans="2:18" x14ac:dyDescent="0.3">
      <c r="B47" s="1" t="s">
        <v>47</v>
      </c>
    </row>
    <row r="48" spans="2:18" x14ac:dyDescent="0.3">
      <c r="B48" s="6" t="s">
        <v>48</v>
      </c>
      <c r="F48" s="19">
        <f>IRR(F43:P43)</f>
        <v>8.9512666122230966E-2</v>
      </c>
    </row>
    <row r="49" spans="2:6" x14ac:dyDescent="0.3">
      <c r="B49" s="6" t="s">
        <v>49</v>
      </c>
      <c r="F49" s="20">
        <f>SUM(G43:P43)/-F43</f>
        <v>1.9770396070106089</v>
      </c>
    </row>
    <row r="50" spans="2:6" x14ac:dyDescent="0.3">
      <c r="B50" s="6" t="s">
        <v>66</v>
      </c>
      <c r="F50" s="9">
        <f>NPV(0.08,G43:P43)+F43</f>
        <v>83710.611394868931</v>
      </c>
    </row>
    <row r="52" spans="2:6" x14ac:dyDescent="0.3">
      <c r="B52" s="1" t="s">
        <v>50</v>
      </c>
    </row>
    <row r="53" spans="2:6" x14ac:dyDescent="0.3">
      <c r="B53" s="6" t="s">
        <v>51</v>
      </c>
      <c r="F53" s="19">
        <f>IRR(F45:P45)</f>
        <v>0.15423724739274824</v>
      </c>
    </row>
    <row r="54" spans="2:6" x14ac:dyDescent="0.3">
      <c r="B54" s="6" t="s">
        <v>49</v>
      </c>
      <c r="F54" s="21">
        <f>SUM(G45:P45)/-F45</f>
        <v>3.1890499741218274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SPENCER</dc:creator>
  <cp:lastModifiedBy>BURTON, SPENCER</cp:lastModifiedBy>
  <dcterms:created xsi:type="dcterms:W3CDTF">2015-08-20T13:28:31Z</dcterms:created>
  <dcterms:modified xsi:type="dcterms:W3CDTF">2017-07-17T14:00:06Z</dcterms:modified>
</cp:coreProperties>
</file>